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8415" windowHeight="3030" activeTab="17"/>
  </bookViews>
  <sheets>
    <sheet name="Мира 1" sheetId="9" r:id="rId1"/>
    <sheet name="Мира 2" sheetId="11" r:id="rId2"/>
    <sheet name="Мира 3" sheetId="18" r:id="rId3"/>
    <sheet name="Мира 4" sheetId="19" r:id="rId4"/>
    <sheet name="Мира 5" sheetId="15" r:id="rId5"/>
    <sheet name="Мира 6" sheetId="20" r:id="rId6"/>
    <sheet name="Мира 7" sheetId="21" r:id="rId7"/>
    <sheet name="Мира 8" sheetId="22" r:id="rId8"/>
    <sheet name="Мира 9" sheetId="23" r:id="rId9"/>
    <sheet name="Мира 10" sheetId="24" r:id="rId10"/>
    <sheet name="Мира 11" sheetId="25" r:id="rId11"/>
    <sheet name="Мира 12" sheetId="26" r:id="rId12"/>
    <sheet name="Мира 13" sheetId="27" r:id="rId13"/>
    <sheet name="Мира 14" sheetId="28" r:id="rId14"/>
    <sheet name="Мира 15" sheetId="30" r:id="rId15"/>
    <sheet name="Мира 15 А" sheetId="31" r:id="rId16"/>
    <sheet name="Мира 16" sheetId="29" r:id="rId17"/>
    <sheet name="Новая 9" sheetId="37" r:id="rId18"/>
    <sheet name="Лист2" sheetId="2" r:id="rId19"/>
    <sheet name="Лист3" sheetId="3" r:id="rId20"/>
  </sheets>
  <definedNames>
    <definedName name="_xlnm.Print_Area" localSheetId="17">'Новая 9'!$A$1:$R$26</definedName>
  </definedNames>
  <calcPr calcId="124519" refMode="R1C1"/>
</workbook>
</file>

<file path=xl/calcChain.xml><?xml version="1.0" encoding="utf-8"?>
<calcChain xmlns="http://schemas.openxmlformats.org/spreadsheetml/2006/main">
  <c r="O7" i="19"/>
  <c r="Q7" i="29" l="1"/>
  <c r="L26" i="37" l="1"/>
  <c r="L25"/>
  <c r="L17"/>
  <c r="L26" i="30"/>
  <c r="L25"/>
  <c r="Q20" i="37" l="1"/>
  <c r="Q21"/>
  <c r="Q22"/>
  <c r="Q23"/>
  <c r="Q24"/>
  <c r="Q19"/>
  <c r="Q21" i="29"/>
  <c r="Q22"/>
  <c r="Q23"/>
  <c r="Q24"/>
  <c r="Q25"/>
  <c r="Q20"/>
  <c r="L26"/>
  <c r="L18"/>
  <c r="L27" s="1"/>
  <c r="L17" i="31"/>
  <c r="Q20"/>
  <c r="Q21"/>
  <c r="Q22"/>
  <c r="Q23"/>
  <c r="Q24"/>
  <c r="Q19"/>
  <c r="L17" i="30"/>
  <c r="Q20"/>
  <c r="Q21"/>
  <c r="Q22"/>
  <c r="Q23"/>
  <c r="Q24"/>
  <c r="Q19"/>
  <c r="Q20" i="28"/>
  <c r="Q21"/>
  <c r="Q22"/>
  <c r="Q23"/>
  <c r="Q24"/>
  <c r="Q19"/>
  <c r="L17"/>
  <c r="Q20" i="27"/>
  <c r="Q21"/>
  <c r="Q22"/>
  <c r="Q23"/>
  <c r="Q24"/>
  <c r="Q19"/>
  <c r="L17"/>
  <c r="Q20" i="26"/>
  <c r="Q21"/>
  <c r="Q22"/>
  <c r="Q23"/>
  <c r="Q24"/>
  <c r="Q19"/>
  <c r="L26"/>
  <c r="L25"/>
  <c r="L17"/>
  <c r="Q26" i="25"/>
  <c r="L26"/>
  <c r="L25"/>
  <c r="Q20"/>
  <c r="Q21"/>
  <c r="Q22"/>
  <c r="Q23"/>
  <c r="Q24"/>
  <c r="Q19"/>
  <c r="Q20" i="24"/>
  <c r="Q21"/>
  <c r="Q22"/>
  <c r="Q23"/>
  <c r="Q24"/>
  <c r="Q19"/>
  <c r="L17" i="23"/>
  <c r="Q20"/>
  <c r="Q21"/>
  <c r="Q22"/>
  <c r="Q23"/>
  <c r="Q24"/>
  <c r="Q19"/>
  <c r="Q20" i="22"/>
  <c r="Q21"/>
  <c r="Q22"/>
  <c r="Q23"/>
  <c r="Q24"/>
  <c r="Q19"/>
  <c r="Q25"/>
  <c r="L17"/>
  <c r="P20"/>
  <c r="P21"/>
  <c r="P22"/>
  <c r="P23"/>
  <c r="P24"/>
  <c r="P19"/>
  <c r="Q20" i="21"/>
  <c r="Q21"/>
  <c r="Q22"/>
  <c r="Q23"/>
  <c r="Q24"/>
  <c r="Q19"/>
  <c r="L17"/>
  <c r="Q20" i="20"/>
  <c r="Q21"/>
  <c r="Q22"/>
  <c r="Q23"/>
  <c r="Q24"/>
  <c r="Q19"/>
  <c r="K17"/>
  <c r="L17" i="15"/>
  <c r="Q20"/>
  <c r="Q21"/>
  <c r="Q22"/>
  <c r="Q23"/>
  <c r="Q24"/>
  <c r="Q19"/>
  <c r="Q20" i="19"/>
  <c r="Q21"/>
  <c r="Q22"/>
  <c r="Q23"/>
  <c r="Q24"/>
  <c r="Q19"/>
  <c r="L17"/>
  <c r="Q20" i="18"/>
  <c r="Q21"/>
  <c r="Q22"/>
  <c r="Q23"/>
  <c r="Q24"/>
  <c r="Q19"/>
  <c r="Q20" i="11"/>
  <c r="Q21"/>
  <c r="Q22"/>
  <c r="Q23"/>
  <c r="Q24"/>
  <c r="Q19"/>
  <c r="L17"/>
  <c r="L17" i="9"/>
  <c r="Q20"/>
  <c r="Q21"/>
  <c r="Q22"/>
  <c r="Q23"/>
  <c r="Q24"/>
  <c r="Q19"/>
  <c r="O7" i="22" l="1"/>
  <c r="O7" i="21"/>
  <c r="O7" i="20"/>
  <c r="L17" i="24" l="1"/>
  <c r="K19" i="20" l="1"/>
  <c r="K25" s="1"/>
  <c r="K26" s="1"/>
  <c r="L17" i="18"/>
  <c r="O23" i="29" l="1"/>
  <c r="O24" s="1"/>
  <c r="O25" s="1"/>
  <c r="O22" i="31"/>
  <c r="O23" s="1"/>
  <c r="O24" s="1"/>
  <c r="O22" i="30"/>
  <c r="O23" s="1"/>
  <c r="O22" i="28"/>
  <c r="O23" s="1"/>
  <c r="O24" s="1"/>
  <c r="O22" i="27"/>
  <c r="O23" s="1"/>
  <c r="O24" s="1"/>
  <c r="O22" i="26"/>
  <c r="O23" s="1"/>
  <c r="O24" s="1"/>
  <c r="O22" i="25"/>
  <c r="O23" s="1"/>
  <c r="O24" s="1"/>
  <c r="O22" i="24"/>
  <c r="O23" s="1"/>
  <c r="O24" s="1"/>
  <c r="O22" i="23"/>
  <c r="O23" s="1"/>
  <c r="O24" s="1"/>
  <c r="O22" i="22"/>
  <c r="O23" s="1"/>
  <c r="O24" s="1"/>
  <c r="O22" i="21"/>
  <c r="O23" s="1"/>
  <c r="O24" s="1"/>
  <c r="O22" i="20"/>
  <c r="O23" s="1"/>
  <c r="O24" s="1"/>
  <c r="O22" i="15"/>
  <c r="O23" s="1"/>
  <c r="O24" s="1"/>
  <c r="O22" i="19"/>
  <c r="O23" s="1"/>
  <c r="O24" s="1"/>
  <c r="O22" i="18"/>
  <c r="O23" s="1"/>
  <c r="O24" s="1"/>
  <c r="O22" i="11"/>
  <c r="O23" s="1"/>
  <c r="O24" s="1"/>
  <c r="O22" i="9"/>
  <c r="O23" s="1"/>
  <c r="O24" s="1"/>
  <c r="O24" i="30" l="1"/>
  <c r="L25" i="31" l="1"/>
  <c r="L26" s="1"/>
  <c r="L25" i="28"/>
  <c r="L26" s="1"/>
  <c r="L25" i="27" l="1"/>
  <c r="L26" s="1"/>
  <c r="L25" i="24"/>
  <c r="L26" s="1"/>
  <c r="L25" i="23"/>
  <c r="L26" s="1"/>
  <c r="L25" i="22"/>
  <c r="L26" s="1"/>
  <c r="L25" i="21"/>
  <c r="L26" s="1"/>
  <c r="L25" i="15"/>
  <c r="L26" s="1"/>
  <c r="L25" i="19"/>
  <c r="L26" s="1"/>
  <c r="C20"/>
  <c r="C21"/>
  <c r="C22"/>
  <c r="C23"/>
  <c r="C24"/>
  <c r="C19"/>
  <c r="C20" i="11"/>
  <c r="C21"/>
  <c r="C22"/>
  <c r="C23"/>
  <c r="C24"/>
  <c r="C19"/>
  <c r="C20" i="9"/>
  <c r="C21"/>
  <c r="C22"/>
  <c r="C23"/>
  <c r="C24"/>
  <c r="C19"/>
  <c r="L25" i="18"/>
  <c r="L26" s="1"/>
  <c r="L25" i="11"/>
  <c r="L26" s="1"/>
  <c r="L25" i="9"/>
  <c r="L26" s="1"/>
  <c r="J19" i="37" l="1"/>
  <c r="K19"/>
  <c r="K20" i="29"/>
  <c r="K19" i="31"/>
  <c r="K19" i="25"/>
  <c r="K19" i="15"/>
  <c r="K19" i="19"/>
  <c r="K19" i="18"/>
  <c r="K19" i="11"/>
  <c r="K19" i="9"/>
  <c r="C20" i="31" l="1"/>
  <c r="C21"/>
  <c r="G25" i="37" l="1"/>
  <c r="H25"/>
  <c r="J25"/>
  <c r="K25"/>
  <c r="N25"/>
  <c r="P25"/>
  <c r="B25"/>
  <c r="C17"/>
  <c r="G17"/>
  <c r="H17"/>
  <c r="J17"/>
  <c r="K17"/>
  <c r="N17"/>
  <c r="P17"/>
  <c r="P26" s="1"/>
  <c r="B17"/>
  <c r="G26" i="29"/>
  <c r="H26"/>
  <c r="K26"/>
  <c r="N26"/>
  <c r="P26"/>
  <c r="B26"/>
  <c r="C18"/>
  <c r="G18"/>
  <c r="H18"/>
  <c r="K18"/>
  <c r="N18"/>
  <c r="P18"/>
  <c r="B18"/>
  <c r="C17" i="31"/>
  <c r="G17"/>
  <c r="H17"/>
  <c r="K17"/>
  <c r="N17"/>
  <c r="P17"/>
  <c r="B17"/>
  <c r="G25"/>
  <c r="G26" s="1"/>
  <c r="H25"/>
  <c r="H26" s="1"/>
  <c r="N25"/>
  <c r="N26" s="1"/>
  <c r="P25"/>
  <c r="B25"/>
  <c r="B26" s="1"/>
  <c r="G25" i="30"/>
  <c r="H25"/>
  <c r="N25"/>
  <c r="P25"/>
  <c r="B25"/>
  <c r="C17"/>
  <c r="G17"/>
  <c r="H17"/>
  <c r="K17"/>
  <c r="N17"/>
  <c r="P17"/>
  <c r="P26" s="1"/>
  <c r="B17"/>
  <c r="G25" i="28"/>
  <c r="H25"/>
  <c r="N25"/>
  <c r="P25"/>
  <c r="B25"/>
  <c r="C17"/>
  <c r="G17"/>
  <c r="H17"/>
  <c r="K17"/>
  <c r="N17"/>
  <c r="P17"/>
  <c r="B17"/>
  <c r="G25" i="27"/>
  <c r="H25"/>
  <c r="N25"/>
  <c r="P25"/>
  <c r="B25"/>
  <c r="C17"/>
  <c r="G17"/>
  <c r="H17"/>
  <c r="K17"/>
  <c r="N17"/>
  <c r="P17"/>
  <c r="B17"/>
  <c r="G25" i="26"/>
  <c r="H25"/>
  <c r="N25"/>
  <c r="P25"/>
  <c r="B25"/>
  <c r="G17"/>
  <c r="H17"/>
  <c r="K17"/>
  <c r="N17"/>
  <c r="P17"/>
  <c r="B17"/>
  <c r="G25" i="25"/>
  <c r="H25"/>
  <c r="K25"/>
  <c r="N25"/>
  <c r="P25"/>
  <c r="B25"/>
  <c r="C17"/>
  <c r="G17"/>
  <c r="H17"/>
  <c r="K17"/>
  <c r="N17"/>
  <c r="P17"/>
  <c r="B17"/>
  <c r="G25" i="24"/>
  <c r="H25"/>
  <c r="N25"/>
  <c r="P25"/>
  <c r="B25"/>
  <c r="C17"/>
  <c r="G17"/>
  <c r="H17"/>
  <c r="K17"/>
  <c r="N17"/>
  <c r="P17"/>
  <c r="B17"/>
  <c r="C17" i="23"/>
  <c r="G17"/>
  <c r="H17"/>
  <c r="K17"/>
  <c r="N17"/>
  <c r="P17"/>
  <c r="B17"/>
  <c r="B26" i="37" l="1"/>
  <c r="K26"/>
  <c r="J26"/>
  <c r="H26"/>
  <c r="G26"/>
  <c r="N26"/>
  <c r="B27" i="29"/>
  <c r="P27"/>
  <c r="N27"/>
  <c r="K27"/>
  <c r="H27"/>
  <c r="G27"/>
  <c r="P26" i="31"/>
  <c r="B26" i="30"/>
  <c r="N26"/>
  <c r="H26"/>
  <c r="G26"/>
  <c r="B26" i="28"/>
  <c r="P26"/>
  <c r="H26"/>
  <c r="G26"/>
  <c r="N26"/>
  <c r="B26" i="27"/>
  <c r="P26"/>
  <c r="H26"/>
  <c r="G26"/>
  <c r="N26"/>
  <c r="B26" i="26"/>
  <c r="B26" i="25"/>
  <c r="P26"/>
  <c r="K26"/>
  <c r="H26"/>
  <c r="G26"/>
  <c r="N26"/>
  <c r="B26" i="24"/>
  <c r="P26" i="26"/>
  <c r="N26"/>
  <c r="H26"/>
  <c r="G26"/>
  <c r="P26" i="24"/>
  <c r="N26"/>
  <c r="H26"/>
  <c r="G26"/>
  <c r="G25" i="23"/>
  <c r="G26" s="1"/>
  <c r="H25"/>
  <c r="H26" s="1"/>
  <c r="N25"/>
  <c r="N26" s="1"/>
  <c r="P25"/>
  <c r="P26" s="1"/>
  <c r="B25"/>
  <c r="B26" s="1"/>
  <c r="G25" i="22"/>
  <c r="H25"/>
  <c r="N25"/>
  <c r="P25"/>
  <c r="B25"/>
  <c r="C17"/>
  <c r="G17"/>
  <c r="H17"/>
  <c r="K17"/>
  <c r="N17"/>
  <c r="P17"/>
  <c r="B17"/>
  <c r="G25" i="21"/>
  <c r="H25"/>
  <c r="N25"/>
  <c r="P25"/>
  <c r="B25"/>
  <c r="C17"/>
  <c r="G17"/>
  <c r="H17"/>
  <c r="K17"/>
  <c r="N17"/>
  <c r="P17"/>
  <c r="B17"/>
  <c r="C17" i="20"/>
  <c r="G17"/>
  <c r="H17"/>
  <c r="L17"/>
  <c r="N17"/>
  <c r="P17"/>
  <c r="B17"/>
  <c r="G25"/>
  <c r="G26" s="1"/>
  <c r="H25"/>
  <c r="H26" s="1"/>
  <c r="N25"/>
  <c r="N26" s="1"/>
  <c r="P25"/>
  <c r="P26" s="1"/>
  <c r="B25"/>
  <c r="B26" s="1"/>
  <c r="G25" i="15"/>
  <c r="H25"/>
  <c r="K25"/>
  <c r="N25"/>
  <c r="P25"/>
  <c r="B25"/>
  <c r="C17"/>
  <c r="G17"/>
  <c r="H17"/>
  <c r="K17"/>
  <c r="N17"/>
  <c r="P17"/>
  <c r="P26" s="1"/>
  <c r="B17"/>
  <c r="G25" i="19"/>
  <c r="H25"/>
  <c r="K25"/>
  <c r="N25"/>
  <c r="P25"/>
  <c r="B25"/>
  <c r="C17"/>
  <c r="G17"/>
  <c r="H17"/>
  <c r="K17"/>
  <c r="N17"/>
  <c r="P17"/>
  <c r="B17"/>
  <c r="G25" i="18"/>
  <c r="H25"/>
  <c r="K25"/>
  <c r="N25"/>
  <c r="P25"/>
  <c r="B25"/>
  <c r="C17"/>
  <c r="G17"/>
  <c r="H17"/>
  <c r="K17"/>
  <c r="N17"/>
  <c r="P17"/>
  <c r="P26" s="1"/>
  <c r="B17"/>
  <c r="G25" i="11"/>
  <c r="H25"/>
  <c r="K25"/>
  <c r="N25"/>
  <c r="P25"/>
  <c r="B25"/>
  <c r="C17"/>
  <c r="G17"/>
  <c r="H17"/>
  <c r="K17"/>
  <c r="N17"/>
  <c r="P17"/>
  <c r="P26" s="1"/>
  <c r="B17"/>
  <c r="G25" i="9"/>
  <c r="H25"/>
  <c r="K25"/>
  <c r="N25"/>
  <c r="P25"/>
  <c r="B25"/>
  <c r="C17"/>
  <c r="G17"/>
  <c r="H17"/>
  <c r="K17"/>
  <c r="N17"/>
  <c r="P17"/>
  <c r="B17"/>
  <c r="B26" i="22" l="1"/>
  <c r="P26"/>
  <c r="N26"/>
  <c r="H26"/>
  <c r="G26"/>
  <c r="B26" i="21"/>
  <c r="P26"/>
  <c r="H26"/>
  <c r="G26"/>
  <c r="N26"/>
  <c r="B26" i="15"/>
  <c r="H26"/>
  <c r="G26"/>
  <c r="N26"/>
  <c r="K26"/>
  <c r="B26" i="19"/>
  <c r="P26"/>
  <c r="H26"/>
  <c r="G26"/>
  <c r="N26"/>
  <c r="K26"/>
  <c r="B26" i="18"/>
  <c r="H26"/>
  <c r="G26"/>
  <c r="N26"/>
  <c r="K26"/>
  <c r="B26" i="11"/>
  <c r="K26"/>
  <c r="H26"/>
  <c r="G26"/>
  <c r="N26"/>
  <c r="B26" i="9"/>
  <c r="P26"/>
  <c r="N26"/>
  <c r="K26"/>
  <c r="H26"/>
  <c r="G26"/>
  <c r="E19" i="37"/>
  <c r="E25" s="1"/>
  <c r="F19"/>
  <c r="F25" s="1"/>
  <c r="I19"/>
  <c r="I25" s="1"/>
  <c r="M19"/>
  <c r="M25" s="1"/>
  <c r="O19"/>
  <c r="O25" s="1"/>
  <c r="D19"/>
  <c r="D25" s="1"/>
  <c r="C24"/>
  <c r="C19"/>
  <c r="C20"/>
  <c r="C21"/>
  <c r="C22"/>
  <c r="C23"/>
  <c r="E20" i="29"/>
  <c r="E26" s="1"/>
  <c r="F20"/>
  <c r="F26" s="1"/>
  <c r="I20"/>
  <c r="I26" s="1"/>
  <c r="J20"/>
  <c r="J26" s="1"/>
  <c r="M20"/>
  <c r="M26" s="1"/>
  <c r="O20"/>
  <c r="O26" s="1"/>
  <c r="D20"/>
  <c r="D26" s="1"/>
  <c r="C20"/>
  <c r="C21"/>
  <c r="C22"/>
  <c r="C23"/>
  <c r="C24"/>
  <c r="C25"/>
  <c r="E19" i="31"/>
  <c r="E25" s="1"/>
  <c r="F19"/>
  <c r="F25" s="1"/>
  <c r="I19"/>
  <c r="I25" s="1"/>
  <c r="J19"/>
  <c r="J25" s="1"/>
  <c r="K25"/>
  <c r="K26" s="1"/>
  <c r="M19"/>
  <c r="M25" s="1"/>
  <c r="O19"/>
  <c r="O25" s="1"/>
  <c r="D19"/>
  <c r="D25" s="1"/>
  <c r="C19"/>
  <c r="C22"/>
  <c r="C23"/>
  <c r="C24"/>
  <c r="E19" i="30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8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7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6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C17"/>
  <c r="E19" i="25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24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3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2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1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20"/>
  <c r="E25" s="1"/>
  <c r="F19"/>
  <c r="F25" s="1"/>
  <c r="I19"/>
  <c r="I25" s="1"/>
  <c r="J19"/>
  <c r="J25" s="1"/>
  <c r="L25"/>
  <c r="L26" s="1"/>
  <c r="M19"/>
  <c r="M25" s="1"/>
  <c r="O19"/>
  <c r="O25" s="1"/>
  <c r="D19"/>
  <c r="D25" s="1"/>
  <c r="C19"/>
  <c r="C20"/>
  <c r="C21"/>
  <c r="C22"/>
  <c r="C23"/>
  <c r="C24"/>
  <c r="E19" i="15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19"/>
  <c r="E25" s="1"/>
  <c r="F19"/>
  <c r="F25" s="1"/>
  <c r="I19"/>
  <c r="I25" s="1"/>
  <c r="J19"/>
  <c r="J25" s="1"/>
  <c r="M19"/>
  <c r="M25" s="1"/>
  <c r="O19"/>
  <c r="O25" s="1"/>
  <c r="D19"/>
  <c r="D25" s="1"/>
  <c r="C25"/>
  <c r="C26" s="1"/>
  <c r="C25" i="37" l="1"/>
  <c r="C26" s="1"/>
  <c r="C26" i="29"/>
  <c r="C27" s="1"/>
  <c r="C25" i="30"/>
  <c r="C26" s="1"/>
  <c r="C25" i="28"/>
  <c r="C26" s="1"/>
  <c r="C25" i="27"/>
  <c r="C26" s="1"/>
  <c r="C25" i="26"/>
  <c r="C25" i="25"/>
  <c r="C26" s="1"/>
  <c r="C25" i="24"/>
  <c r="C26" s="1"/>
  <c r="C25" i="22"/>
  <c r="C26" s="1"/>
  <c r="C25" i="21"/>
  <c r="C26" s="1"/>
  <c r="C25" i="15"/>
  <c r="C26" s="1"/>
  <c r="C26" i="26"/>
  <c r="C25" i="31"/>
  <c r="C26" s="1"/>
  <c r="C25" i="23"/>
  <c r="C26" s="1"/>
  <c r="C25" i="20"/>
  <c r="C26" s="1"/>
  <c r="E19" i="18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11"/>
  <c r="E25" s="1"/>
  <c r="F19"/>
  <c r="F25" s="1"/>
  <c r="I19"/>
  <c r="I25" s="1"/>
  <c r="J19"/>
  <c r="J25" s="1"/>
  <c r="M19"/>
  <c r="M25" s="1"/>
  <c r="O19"/>
  <c r="O25" s="1"/>
  <c r="D19"/>
  <c r="D25" s="1"/>
  <c r="E19" i="9"/>
  <c r="E25" s="1"/>
  <c r="F19"/>
  <c r="F25" s="1"/>
  <c r="I19"/>
  <c r="I25" s="1"/>
  <c r="J19"/>
  <c r="J25" s="1"/>
  <c r="M19"/>
  <c r="M25" s="1"/>
  <c r="O19"/>
  <c r="O25" s="1"/>
  <c r="D19"/>
  <c r="D25" s="1"/>
  <c r="C25" i="18" l="1"/>
  <c r="C26" s="1"/>
  <c r="C25" i="11"/>
  <c r="C26" s="1"/>
  <c r="C25" i="9"/>
  <c r="C26" s="1"/>
  <c r="J11"/>
  <c r="J17" s="1"/>
  <c r="J26" s="1"/>
  <c r="G38" i="29" l="1"/>
  <c r="Q7" i="28" l="1"/>
  <c r="R7" i="37" l="1"/>
  <c r="R7" i="31"/>
  <c r="Q7" i="30"/>
  <c r="Q7" i="27"/>
  <c r="P7" i="26"/>
  <c r="Q7" i="25"/>
  <c r="O7" i="23"/>
  <c r="O7" i="15"/>
  <c r="O7" i="18"/>
  <c r="O7" i="11"/>
  <c r="O7" i="9"/>
  <c r="O12" i="29"/>
  <c r="O18" s="1"/>
  <c r="O27" s="1"/>
  <c r="M12"/>
  <c r="M18" s="1"/>
  <c r="M27" s="1"/>
  <c r="E12"/>
  <c r="E18" s="1"/>
  <c r="E27" s="1"/>
  <c r="F12"/>
  <c r="F18" s="1"/>
  <c r="F27" s="1"/>
  <c r="I12"/>
  <c r="I18" s="1"/>
  <c r="I27" s="1"/>
  <c r="J12"/>
  <c r="J18" s="1"/>
  <c r="J27" s="1"/>
  <c r="D12"/>
  <c r="D18" s="1"/>
  <c r="D27" s="1"/>
  <c r="O11" i="30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D11"/>
  <c r="D17" s="1"/>
  <c r="D26" s="1"/>
  <c r="O11" i="25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O11" i="19"/>
  <c r="O17" s="1"/>
  <c r="O26" s="1"/>
  <c r="M11"/>
  <c r="M17" s="1"/>
  <c r="M26" s="1"/>
  <c r="E11"/>
  <c r="E17" s="1"/>
  <c r="E26" s="1"/>
  <c r="F11"/>
  <c r="F17" s="1"/>
  <c r="F26" s="1"/>
  <c r="I11"/>
  <c r="I17" s="1"/>
  <c r="I26" s="1"/>
  <c r="J11"/>
  <c r="J17" s="1"/>
  <c r="J26" s="1"/>
  <c r="D11"/>
  <c r="D17" s="1"/>
  <c r="D26" s="1"/>
  <c r="Q12" i="24" l="1"/>
  <c r="Q13"/>
  <c r="Q14"/>
  <c r="Q15"/>
  <c r="Q16"/>
  <c r="O7"/>
  <c r="M11" i="30" l="1"/>
  <c r="M17" s="1"/>
  <c r="M26" s="1"/>
  <c r="E11" i="37"/>
  <c r="F11"/>
  <c r="F17" s="1"/>
  <c r="F26" s="1"/>
  <c r="I11"/>
  <c r="I17" s="1"/>
  <c r="I26" s="1"/>
  <c r="M11"/>
  <c r="M17" s="1"/>
  <c r="M26" s="1"/>
  <c r="O11"/>
  <c r="O17" s="1"/>
  <c r="O26" s="1"/>
  <c r="D11"/>
  <c r="D17" s="1"/>
  <c r="D26" s="1"/>
  <c r="E11" i="3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8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7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6"/>
  <c r="F11"/>
  <c r="I11"/>
  <c r="J11"/>
  <c r="M11"/>
  <c r="O11"/>
  <c r="D11"/>
  <c r="E11" i="24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3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2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20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15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18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D11" i="9"/>
  <c r="D17" s="1"/>
  <c r="D26" s="1"/>
  <c r="E11" i="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Q16" i="37"/>
  <c r="Q15"/>
  <c r="Q14"/>
  <c r="Q13"/>
  <c r="Q12"/>
  <c r="Q16" i="31"/>
  <c r="Q15"/>
  <c r="Q14"/>
  <c r="Q13"/>
  <c r="Q12"/>
  <c r="Q11"/>
  <c r="A10"/>
  <c r="E17" i="37" l="1"/>
  <c r="E26" s="1"/>
  <c r="Q11"/>
  <c r="Q17" s="1"/>
  <c r="R11" i="31"/>
  <c r="Q17"/>
  <c r="Q25" i="37"/>
  <c r="Q26" s="1"/>
  <c r="R26" s="1"/>
  <c r="Q25" i="31"/>
  <c r="D17" i="26"/>
  <c r="D26" s="1"/>
  <c r="O17"/>
  <c r="O26" s="1"/>
  <c r="M17"/>
  <c r="M26" s="1"/>
  <c r="J17"/>
  <c r="J26" s="1"/>
  <c r="I17"/>
  <c r="I26" s="1"/>
  <c r="F17"/>
  <c r="F26" s="1"/>
  <c r="E17"/>
  <c r="E26" s="1"/>
  <c r="R12" i="31"/>
  <c r="R13" s="1"/>
  <c r="R14" s="1"/>
  <c r="R15" s="1"/>
  <c r="R16" s="1"/>
  <c r="R18" s="1"/>
  <c r="R19" s="1"/>
  <c r="R20" s="1"/>
  <c r="R21" s="1"/>
  <c r="R22" s="1"/>
  <c r="R23" s="1"/>
  <c r="R24" s="1"/>
  <c r="Q11" i="24"/>
  <c r="Q17" s="1"/>
  <c r="R11" i="37"/>
  <c r="R12" s="1"/>
  <c r="R13" s="1"/>
  <c r="R14" s="1"/>
  <c r="R15" s="1"/>
  <c r="R16" s="1"/>
  <c r="Q11" i="27"/>
  <c r="Q16" i="30"/>
  <c r="Q15"/>
  <c r="Q14"/>
  <c r="Q13"/>
  <c r="Q12"/>
  <c r="Q11"/>
  <c r="Q17" s="1"/>
  <c r="A10"/>
  <c r="Q25" l="1"/>
  <c r="Q26" s="1"/>
  <c r="Q26" i="31"/>
  <c r="R26" s="1"/>
  <c r="R19" i="37"/>
  <c r="R20" s="1"/>
  <c r="R21" s="1"/>
  <c r="R22" s="1"/>
  <c r="R23" s="1"/>
  <c r="R24" s="1"/>
  <c r="R18"/>
  <c r="R11" i="30"/>
  <c r="R12" s="1"/>
  <c r="R13" s="1"/>
  <c r="R14" s="1"/>
  <c r="R15" s="1"/>
  <c r="R16" s="1"/>
  <c r="R26"/>
  <c r="Q17" i="29"/>
  <c r="Q16"/>
  <c r="Q15"/>
  <c r="Q14"/>
  <c r="Q13"/>
  <c r="Q12"/>
  <c r="Q18" s="1"/>
  <c r="A11"/>
  <c r="Q16" i="28"/>
  <c r="Q15"/>
  <c r="Q14"/>
  <c r="Q13"/>
  <c r="Q12"/>
  <c r="Q11"/>
  <c r="Q17" s="1"/>
  <c r="A10"/>
  <c r="Q16" i="27"/>
  <c r="Q15"/>
  <c r="Q14"/>
  <c r="Q13"/>
  <c r="Q12"/>
  <c r="Q17" s="1"/>
  <c r="R11"/>
  <c r="A10"/>
  <c r="Q16" i="26"/>
  <c r="Q15"/>
  <c r="Q14"/>
  <c r="Q13"/>
  <c r="Q12"/>
  <c r="Q11"/>
  <c r="Q17" s="1"/>
  <c r="A10"/>
  <c r="Q16" i="25"/>
  <c r="Q15"/>
  <c r="Q14"/>
  <c r="Q13"/>
  <c r="Q12"/>
  <c r="Q11"/>
  <c r="A10"/>
  <c r="R11" i="24"/>
  <c r="A10"/>
  <c r="Q16" i="23"/>
  <c r="Q15"/>
  <c r="Q14"/>
  <c r="Q13"/>
  <c r="Q12"/>
  <c r="Q11"/>
  <c r="Q17" s="1"/>
  <c r="A10"/>
  <c r="Q16" i="22"/>
  <c r="Q15"/>
  <c r="Q14"/>
  <c r="Q13"/>
  <c r="Q12"/>
  <c r="Q11"/>
  <c r="Q17" s="1"/>
  <c r="A10"/>
  <c r="Q16" i="21"/>
  <c r="Q15"/>
  <c r="Q14"/>
  <c r="Q13"/>
  <c r="Q12"/>
  <c r="Q11"/>
  <c r="A10"/>
  <c r="Q16" i="20"/>
  <c r="Q15"/>
  <c r="Q14"/>
  <c r="Q13"/>
  <c r="Q12"/>
  <c r="Q11"/>
  <c r="A10"/>
  <c r="Q16" i="19"/>
  <c r="Q15"/>
  <c r="Q14"/>
  <c r="Q13"/>
  <c r="Q12"/>
  <c r="Q11"/>
  <c r="Q17" s="1"/>
  <c r="A10"/>
  <c r="R19" i="18"/>
  <c r="Q16"/>
  <c r="Q15"/>
  <c r="Q14"/>
  <c r="Q13"/>
  <c r="Q12"/>
  <c r="Q11"/>
  <c r="Q17" s="1"/>
  <c r="A10"/>
  <c r="Q16" i="15"/>
  <c r="Q15"/>
  <c r="Q14"/>
  <c r="Q13"/>
  <c r="Q12"/>
  <c r="Q11"/>
  <c r="Q17" s="1"/>
  <c r="A10"/>
  <c r="Q25" i="11"/>
  <c r="Q16"/>
  <c r="Q15"/>
  <c r="Q14"/>
  <c r="Q13"/>
  <c r="Q12"/>
  <c r="Q11"/>
  <c r="A10"/>
  <c r="Q12" i="9"/>
  <c r="Q13"/>
  <c r="Q14"/>
  <c r="Q15"/>
  <c r="Q16"/>
  <c r="E11"/>
  <c r="E17" s="1"/>
  <c r="E26" s="1"/>
  <c r="F11"/>
  <c r="F17" s="1"/>
  <c r="F26" s="1"/>
  <c r="I11"/>
  <c r="I17" s="1"/>
  <c r="I26" s="1"/>
  <c r="M11"/>
  <c r="M17" s="1"/>
  <c r="M26" s="1"/>
  <c r="O11"/>
  <c r="O17" s="1"/>
  <c r="O26" s="1"/>
  <c r="A10"/>
  <c r="R11" i="25" l="1"/>
  <c r="Q17"/>
  <c r="Q26" i="22"/>
  <c r="R11" i="21"/>
  <c r="Q17"/>
  <c r="R11" i="20"/>
  <c r="Q17"/>
  <c r="R11" i="11"/>
  <c r="Q17"/>
  <c r="Q26"/>
  <c r="R26" s="1"/>
  <c r="Q25" i="9"/>
  <c r="Q25" i="28"/>
  <c r="Q26" s="1"/>
  <c r="Q25" i="27"/>
  <c r="Q26" s="1"/>
  <c r="Q25" i="26"/>
  <c r="Q26" s="1"/>
  <c r="Q25" i="24"/>
  <c r="Q26" s="1"/>
  <c r="Q25" i="21"/>
  <c r="Q26" s="1"/>
  <c r="Q26" i="29"/>
  <c r="Q27" s="1"/>
  <c r="Q25" i="25"/>
  <c r="Q25" i="15"/>
  <c r="Q26" s="1"/>
  <c r="Q25" i="19"/>
  <c r="Q26" s="1"/>
  <c r="Q25" i="18"/>
  <c r="Q26" s="1"/>
  <c r="R26" s="1"/>
  <c r="R18" i="30"/>
  <c r="R19" s="1"/>
  <c r="R20" s="1"/>
  <c r="R21" s="1"/>
  <c r="R22" s="1"/>
  <c r="R23" s="1"/>
  <c r="R24" s="1"/>
  <c r="Q25" i="23"/>
  <c r="Q26" s="1"/>
  <c r="Q25" i="20"/>
  <c r="Q26" s="1"/>
  <c r="R11" i="18"/>
  <c r="R11" i="19"/>
  <c r="R26"/>
  <c r="R26" i="20"/>
  <c r="R26" i="21"/>
  <c r="R26" i="25"/>
  <c r="R11" i="26"/>
  <c r="R26"/>
  <c r="R26" i="24"/>
  <c r="R12" i="11"/>
  <c r="R13" s="1"/>
  <c r="R14" s="1"/>
  <c r="R15" s="1"/>
  <c r="R16" s="1"/>
  <c r="R26" i="27"/>
  <c r="R12"/>
  <c r="R13" s="1"/>
  <c r="R14" s="1"/>
  <c r="R15" s="1"/>
  <c r="R16" s="1"/>
  <c r="R12" i="25"/>
  <c r="R13" s="1"/>
  <c r="R14" s="1"/>
  <c r="R15" s="1"/>
  <c r="R16" s="1"/>
  <c r="R12" i="21"/>
  <c r="R13" s="1"/>
  <c r="R14" s="1"/>
  <c r="R15" s="1"/>
  <c r="R16" s="1"/>
  <c r="R12" i="19"/>
  <c r="R13" s="1"/>
  <c r="R14" s="1"/>
  <c r="R15" s="1"/>
  <c r="R16" s="1"/>
  <c r="Q11" i="9"/>
  <c r="Q17" s="1"/>
  <c r="R11" i="15"/>
  <c r="R12" s="1"/>
  <c r="R13" s="1"/>
  <c r="R14" s="1"/>
  <c r="R15" s="1"/>
  <c r="R16" s="1"/>
  <c r="R26"/>
  <c r="R12" i="18"/>
  <c r="R13" s="1"/>
  <c r="R14" s="1"/>
  <c r="R15" s="1"/>
  <c r="R16" s="1"/>
  <c r="R20" s="1"/>
  <c r="R21" s="1"/>
  <c r="R22" s="1"/>
  <c r="R23" s="1"/>
  <c r="R24" s="1"/>
  <c r="R12" i="20"/>
  <c r="R13" s="1"/>
  <c r="R14" s="1"/>
  <c r="R15" s="1"/>
  <c r="R16" s="1"/>
  <c r="R12" i="24"/>
  <c r="R13" s="1"/>
  <c r="R14" s="1"/>
  <c r="R15" s="1"/>
  <c r="R16" s="1"/>
  <c r="R12" i="26"/>
  <c r="R13" s="1"/>
  <c r="R14" s="1"/>
  <c r="R15" s="1"/>
  <c r="R16" s="1"/>
  <c r="R11" i="28"/>
  <c r="R12" s="1"/>
  <c r="R13" s="1"/>
  <c r="R14" s="1"/>
  <c r="R15" s="1"/>
  <c r="R16" s="1"/>
  <c r="R26"/>
  <c r="R11" i="23"/>
  <c r="R12" s="1"/>
  <c r="R13" s="1"/>
  <c r="R14" s="1"/>
  <c r="R15" s="1"/>
  <c r="R16" s="1"/>
  <c r="R18" s="1"/>
  <c r="R19" s="1"/>
  <c r="R20" s="1"/>
  <c r="R21" s="1"/>
  <c r="R22" s="1"/>
  <c r="R23" s="1"/>
  <c r="R24" s="1"/>
  <c r="R26"/>
  <c r="R11" i="22"/>
  <c r="R12" s="1"/>
  <c r="R13" s="1"/>
  <c r="R14" s="1"/>
  <c r="R15" s="1"/>
  <c r="R16" s="1"/>
  <c r="R26"/>
  <c r="R12" i="29"/>
  <c r="R13" s="1"/>
  <c r="R14" s="1"/>
  <c r="R15" s="1"/>
  <c r="R16" s="1"/>
  <c r="R17" s="1"/>
  <c r="R27"/>
  <c r="Q26" i="9" l="1"/>
  <c r="R26" s="1"/>
  <c r="R19" i="29"/>
  <c r="R20" s="1"/>
  <c r="R21" s="1"/>
  <c r="R22" s="1"/>
  <c r="R23" s="1"/>
  <c r="R24" s="1"/>
  <c r="R25" s="1"/>
  <c r="R18" i="28"/>
  <c r="R19" s="1"/>
  <c r="R20" s="1"/>
  <c r="R21" s="1"/>
  <c r="R22" s="1"/>
  <c r="R23" s="1"/>
  <c r="R24" s="1"/>
  <c r="R18" i="27"/>
  <c r="R19" s="1"/>
  <c r="R20" s="1"/>
  <c r="R21" s="1"/>
  <c r="R22" s="1"/>
  <c r="R23" s="1"/>
  <c r="R24" s="1"/>
  <c r="R18" i="26"/>
  <c r="R19" s="1"/>
  <c r="R20" s="1"/>
  <c r="R21" s="1"/>
  <c r="R22" s="1"/>
  <c r="R23" s="1"/>
  <c r="R24" s="1"/>
  <c r="R18" i="25"/>
  <c r="R19" s="1"/>
  <c r="R20" s="1"/>
  <c r="R21" s="1"/>
  <c r="R22" s="1"/>
  <c r="R23" s="1"/>
  <c r="R24" s="1"/>
  <c r="R18" i="24"/>
  <c r="R19" s="1"/>
  <c r="R20" s="1"/>
  <c r="R21" s="1"/>
  <c r="R22" s="1"/>
  <c r="R23" s="1"/>
  <c r="R24" s="1"/>
  <c r="R18" i="22"/>
  <c r="R19" s="1"/>
  <c r="R20" s="1"/>
  <c r="R21" s="1"/>
  <c r="R22" s="1"/>
  <c r="R23" s="1"/>
  <c r="R24" s="1"/>
  <c r="R18" i="21"/>
  <c r="R19" s="1"/>
  <c r="R20" s="1"/>
  <c r="R21" s="1"/>
  <c r="R22" s="1"/>
  <c r="R23" s="1"/>
  <c r="R24" s="1"/>
  <c r="R18" i="20"/>
  <c r="R19" s="1"/>
  <c r="R20" s="1"/>
  <c r="R21" s="1"/>
  <c r="R22" s="1"/>
  <c r="R23" s="1"/>
  <c r="R24" s="1"/>
  <c r="R18" i="15"/>
  <c r="R19" s="1"/>
  <c r="R20" s="1"/>
  <c r="R21" s="1"/>
  <c r="R22" s="1"/>
  <c r="R23" s="1"/>
  <c r="R24" s="1"/>
  <c r="R18" i="19"/>
  <c r="R19" s="1"/>
  <c r="R20" s="1"/>
  <c r="R21" s="1"/>
  <c r="R22" s="1"/>
  <c r="R23" s="1"/>
  <c r="R24" s="1"/>
  <c r="R18" i="11"/>
  <c r="R19" s="1"/>
  <c r="R20" s="1"/>
  <c r="R21" s="1"/>
  <c r="R22" s="1"/>
  <c r="R23" s="1"/>
  <c r="R24" s="1"/>
  <c r="R11" i="9"/>
  <c r="R12" s="1"/>
  <c r="R13" s="1"/>
  <c r="R14" s="1"/>
  <c r="R15" s="1"/>
  <c r="R16" s="1"/>
  <c r="R18" l="1"/>
  <c r="R19" s="1"/>
  <c r="R20" s="1"/>
  <c r="R21" s="1"/>
  <c r="R22" s="1"/>
  <c r="R23" s="1"/>
  <c r="R24" s="1"/>
</calcChain>
</file>

<file path=xl/sharedStrings.xml><?xml version="1.0" encoding="utf-8"?>
<sst xmlns="http://schemas.openxmlformats.org/spreadsheetml/2006/main" count="894" uniqueCount="97">
  <si>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</si>
  <si>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</si>
  <si>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</si>
  <si>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</si>
  <si>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</si>
  <si>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</si>
  <si>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</si>
  <si>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</si>
  <si>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</si>
  <si>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</si>
  <si>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</si>
  <si>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</si>
  <si>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Адрес</t>
  </si>
  <si>
    <t>Категория дома</t>
  </si>
  <si>
    <t>Площадь дома</t>
  </si>
  <si>
    <t>Входящий остаток</t>
  </si>
  <si>
    <t>Поступило денежных средств</t>
  </si>
  <si>
    <t>Содержание УК</t>
  </si>
  <si>
    <t>Аварийная служба</t>
  </si>
  <si>
    <t>Общеэксплуатационные расходы</t>
  </si>
  <si>
    <t>ТО газ. Оборудоваеия</t>
  </si>
  <si>
    <t>Проверка венканалов</t>
  </si>
  <si>
    <t>Уборка и содержание контейнерных площадок</t>
  </si>
  <si>
    <t>Профосмотр инженерных сетей</t>
  </si>
  <si>
    <t>Итого израсходовано</t>
  </si>
  <si>
    <t>Остаток на конец периода</t>
  </si>
  <si>
    <t>И З Р А С Х О Д О В А Н О</t>
  </si>
  <si>
    <t>кв.м.</t>
  </si>
  <si>
    <t>Вывоз ТБО</t>
  </si>
  <si>
    <t>Вывоз ЖБО</t>
  </si>
  <si>
    <t>пос.Дружба</t>
  </si>
  <si>
    <t>ул.Мира</t>
  </si>
  <si>
    <t>д.№  1</t>
  </si>
  <si>
    <t>д.№  2</t>
  </si>
  <si>
    <t>д.№  3</t>
  </si>
  <si>
    <t xml:space="preserve">д.№ 4                  </t>
  </si>
  <si>
    <t>д.№ 5</t>
  </si>
  <si>
    <t>д.№ 6</t>
  </si>
  <si>
    <t>д.№ 7</t>
  </si>
  <si>
    <t>д.№ 8</t>
  </si>
  <si>
    <t>д.№ 9</t>
  </si>
  <si>
    <t>д.№ 10</t>
  </si>
  <si>
    <t>д.№ 11</t>
  </si>
  <si>
    <t>д.№ 12</t>
  </si>
  <si>
    <t>д.№ 13</t>
  </si>
  <si>
    <t>д.№ 14</t>
  </si>
  <si>
    <t>д.№  15</t>
  </si>
  <si>
    <t>д.№  15 А</t>
  </si>
  <si>
    <t>д.№ 16</t>
  </si>
  <si>
    <t>ул.Новая</t>
  </si>
  <si>
    <t>ФИНАНСОВЫЙ ОТЧЕТ за 2012</t>
  </si>
  <si>
    <t>Итого</t>
  </si>
  <si>
    <t>Корректировка сметной документации</t>
  </si>
  <si>
    <t>Разработка сметной документации</t>
  </si>
  <si>
    <t>Экспертиза сметной документации</t>
  </si>
  <si>
    <t>ИТОГО</t>
  </si>
  <si>
    <t>За бункер</t>
  </si>
  <si>
    <t xml:space="preserve">За бункер </t>
  </si>
  <si>
    <t>за бункер</t>
  </si>
  <si>
    <t>Услуги вышки</t>
  </si>
  <si>
    <t>За предоставление сведений внесенных ГКД</t>
  </si>
  <si>
    <t>Остаток на начало отчетного периода</t>
  </si>
  <si>
    <t>Израсходовано</t>
  </si>
  <si>
    <t>Средства на капитальный ремонт</t>
  </si>
  <si>
    <t>Остаток на конец  отчетного периода</t>
  </si>
  <si>
    <t>сдача отчетности</t>
  </si>
  <si>
    <t>Изготовление копии Устава</t>
  </si>
  <si>
    <t>Сдача отчетности</t>
  </si>
  <si>
    <t>За копию уставов</t>
  </si>
  <si>
    <t>За копию устава</t>
  </si>
  <si>
    <t>Сдача отности</t>
  </si>
  <si>
    <t>Ремонт системы ХВС</t>
  </si>
  <si>
    <t>Изготовление информационной таблички</t>
  </si>
  <si>
    <t>Установка пластиковых окон</t>
  </si>
  <si>
    <t xml:space="preserve">Песок </t>
  </si>
  <si>
    <t>Ремонт вытяжных труб</t>
  </si>
  <si>
    <t>в т.ч средства из содержания</t>
  </si>
  <si>
    <t xml:space="preserve">Косметический ремонт подъезда </t>
  </si>
  <si>
    <t>Пластиковые окна</t>
  </si>
  <si>
    <t>Комиссионный сборы 2,5%</t>
  </si>
  <si>
    <t>Комиссионные сборы 2,5 %</t>
  </si>
  <si>
    <t>1 полугодие</t>
  </si>
  <si>
    <t>2 полугодие</t>
  </si>
  <si>
    <t>Топографическая съемка</t>
  </si>
  <si>
    <t>Собрано за  2012 г.</t>
  </si>
  <si>
    <t>Установки и изготовление дверей</t>
  </si>
  <si>
    <t>Содержание и текущий ремонт общедомового имущества</t>
  </si>
  <si>
    <t>Резерв( непредвиденные расходы)</t>
  </si>
  <si>
    <t>Приобретение спецодежды и инструментов</t>
  </si>
  <si>
    <t>5,47 +0,37</t>
  </si>
  <si>
    <t>5,47+0,37</t>
  </si>
  <si>
    <t>Приобр. Инструм. и спец. Одежды</t>
  </si>
  <si>
    <t>6,94+0,37</t>
  </si>
  <si>
    <t>4,92+0,37</t>
  </si>
  <si>
    <t>6,09+0,37</t>
  </si>
  <si>
    <t>Расходы по изготовлению и доставки квитанций и почтовые сборы</t>
  </si>
  <si>
    <t>Приложение № 1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</si>
</sst>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" xfId="0" applyBorder="1"/>
    <xf numFmtId="0" fontId="1" fillId="0" borderId="0" xfId="0" applyFont="1" applyAlignment="1">
      <alignment vertical="justify"/>
    </xf>
    <xf numFmtId="0" fontId="0" fillId="0" borderId="4" xfId="0" applyBorder="1"/>
    <xf numFmtId="0" fontId="1" fillId="0" borderId="4" xfId="0" applyFont="1" applyBorder="1" applyAlignment="1">
      <alignment vertical="justify"/>
    </xf>
    <xf numFmtId="0" fontId="0" fillId="2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justify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1" fillId="2" borderId="4" xfId="0" applyFont="1" applyFill="1" applyBorder="1"/>
    <xf numFmtId="2" fontId="0" fillId="0" borderId="4" xfId="0" applyNumberFormat="1" applyBorder="1"/>
    <xf numFmtId="0" fontId="1" fillId="0" borderId="4" xfId="0" applyFont="1" applyBorder="1" applyAlignment="1">
      <alignment horizontal="center" vertical="justify"/>
    </xf>
    <xf numFmtId="2" fontId="0" fillId="2" borderId="4" xfId="0" applyNumberFormat="1" applyFill="1" applyBorder="1"/>
    <xf numFmtId="2" fontId="0" fillId="0" borderId="1" xfId="0" applyNumberFormat="1" applyBorder="1"/>
    <xf numFmtId="0" fontId="0" fillId="0" borderId="4" xfId="0" applyFill="1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/>
    <xf numFmtId="0" fontId="1" fillId="0" borderId="4" xfId="0" applyFont="1" applyFill="1" applyBorder="1"/>
    <xf numFmtId="0" fontId="0" fillId="0" borderId="12" xfId="0" applyFill="1" applyBorder="1"/>
    <xf numFmtId="0" fontId="0" fillId="0" borderId="1" xfId="0" applyFont="1" applyBorder="1"/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4" xfId="0" applyNumberFormat="1" applyBorder="1"/>
    <xf numFmtId="0" fontId="0" fillId="0" borderId="0" xfId="0" applyBorder="1"/>
    <xf numFmtId="0" fontId="0" fillId="0" borderId="14" xfId="0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center" vertical="justify"/>
    </xf>
    <xf numFmtId="0" fontId="0" fillId="0" borderId="4" xfId="0" applyBorder="1" applyAlignment="1"/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justify"/>
    </xf>
    <xf numFmtId="0" fontId="1" fillId="0" borderId="4" xfId="0" applyFont="1" applyFill="1" applyBorder="1" applyAlignment="1">
      <alignment horizontal="center" vertical="justify"/>
    </xf>
    <xf numFmtId="0" fontId="1" fillId="3" borderId="4" xfId="0" applyFont="1" applyFill="1" applyBorder="1"/>
    <xf numFmtId="2" fontId="1" fillId="3" borderId="4" xfId="0" applyNumberFormat="1" applyFont="1" applyFill="1" applyBorder="1"/>
    <xf numFmtId="0" fontId="1" fillId="3" borderId="0" xfId="0" applyFont="1" applyFill="1"/>
    <xf numFmtId="2" fontId="0" fillId="0" borderId="4" xfId="0" applyNumberFormat="1" applyFill="1" applyBorder="1"/>
    <xf numFmtId="0" fontId="1" fillId="0" borderId="0" xfId="0" applyFont="1"/>
    <xf numFmtId="0" fontId="1" fillId="4" borderId="4" xfId="0" applyFont="1" applyFill="1" applyBorder="1"/>
    <xf numFmtId="0" fontId="1" fillId="4" borderId="0" xfId="0" applyFont="1" applyFill="1"/>
    <xf numFmtId="2" fontId="1" fillId="0" borderId="4" xfId="0" applyNumberFormat="1" applyFont="1" applyBorder="1"/>
    <xf numFmtId="2" fontId="1" fillId="2" borderId="4" xfId="0" applyNumberFormat="1" applyFont="1" applyFill="1" applyBorder="1"/>
    <xf numFmtId="2" fontId="1" fillId="4" borderId="4" xfId="0" applyNumberFormat="1" applyFont="1" applyFill="1" applyBorder="1"/>
    <xf numFmtId="0" fontId="1" fillId="0" borderId="0" xfId="0" applyFont="1" applyBorder="1"/>
    <xf numFmtId="0" fontId="1" fillId="4" borderId="1" xfId="0" applyFont="1" applyFill="1" applyBorder="1"/>
    <xf numFmtId="0" fontId="3" fillId="0" borderId="4" xfId="0" applyFont="1" applyBorder="1" applyAlignment="1">
      <alignment vertical="justify"/>
    </xf>
    <xf numFmtId="0" fontId="1" fillId="3" borderId="7" xfId="0" applyFont="1" applyFill="1" applyBorder="1" applyAlignment="1"/>
    <xf numFmtId="0" fontId="1" fillId="3" borderId="13" xfId="0" applyFont="1" applyFill="1" applyBorder="1" applyAlignment="1"/>
    <xf numFmtId="2" fontId="0" fillId="5" borderId="4" xfId="0" applyNumberFormat="1" applyFill="1" applyBorder="1"/>
    <xf numFmtId="0" fontId="0" fillId="5" borderId="4" xfId="0" applyFill="1" applyBorder="1"/>
    <xf numFmtId="0" fontId="0" fillId="4" borderId="4" xfId="0" applyFill="1" applyBorder="1"/>
    <xf numFmtId="0" fontId="0" fillId="4" borderId="0" xfId="0" applyFill="1"/>
    <xf numFmtId="0" fontId="1" fillId="0" borderId="4" xfId="0" applyFont="1" applyBorder="1" applyAlignment="1">
      <alignment horizontal="center" vertical="justify"/>
    </xf>
    <xf numFmtId="0" fontId="1" fillId="0" borderId="13" xfId="0" applyFont="1" applyBorder="1" applyAlignment="1">
      <alignment horizontal="center" vertical="justify"/>
    </xf>
    <xf numFmtId="0" fontId="1" fillId="3" borderId="8" xfId="0" applyFont="1" applyFill="1" applyBorder="1" applyAlignment="1">
      <alignment horizontal="center"/>
    </xf>
    <xf numFmtId="0" fontId="0" fillId="5" borderId="5" xfId="0" applyFill="1" applyBorder="1"/>
    <xf numFmtId="0" fontId="1" fillId="0" borderId="4" xfId="0" applyFont="1" applyBorder="1" applyAlignment="1">
      <alignment horizontal="center" vertical="justify"/>
    </xf>
    <xf numFmtId="0" fontId="1" fillId="0" borderId="13" xfId="0" applyFont="1" applyBorder="1" applyAlignment="1">
      <alignment horizontal="center" vertical="justify"/>
    </xf>
    <xf numFmtId="2" fontId="0" fillId="0" borderId="4" xfId="0" applyNumberFormat="1" applyBorder="1" applyAlignment="1"/>
    <xf numFmtId="0" fontId="1" fillId="0" borderId="4" xfId="0" applyFont="1" applyBorder="1" applyAlignment="1">
      <alignment horizontal="center" vertical="justify"/>
    </xf>
    <xf numFmtId="0" fontId="1" fillId="0" borderId="7" xfId="0" applyFont="1" applyBorder="1" applyAlignment="1">
      <alignment horizontal="center" vertical="justify"/>
    </xf>
    <xf numFmtId="0" fontId="1" fillId="0" borderId="13" xfId="0" applyFont="1" applyBorder="1" applyAlignment="1">
      <alignment horizontal="center" vertical="justify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vertical="justify"/>
    </xf>
    <xf numFmtId="0" fontId="0" fillId="3" borderId="4" xfId="0" applyFill="1" applyBorder="1"/>
    <xf numFmtId="0" fontId="0" fillId="3" borderId="0" xfId="0" applyFill="1"/>
    <xf numFmtId="0" fontId="0" fillId="0" borderId="7" xfId="0" applyBorder="1" applyAlignment="1"/>
    <xf numFmtId="0" fontId="1" fillId="3" borderId="13" xfId="0" applyFont="1" applyFill="1" applyBorder="1" applyAlignment="1">
      <alignment horizontal="center" vertical="justify"/>
    </xf>
    <xf numFmtId="0" fontId="0" fillId="0" borderId="0" xfId="0" applyBorder="1" applyAlignment="1"/>
    <xf numFmtId="0" fontId="0" fillId="5" borderId="4" xfId="0" applyFill="1" applyBorder="1" applyAlignment="1"/>
    <xf numFmtId="2" fontId="0" fillId="0" borderId="7" xfId="0" applyNumberFormat="1" applyBorder="1" applyAlignment="1"/>
    <xf numFmtId="0" fontId="0" fillId="0" borderId="13" xfId="0" applyBorder="1" applyAlignment="1"/>
    <xf numFmtId="0" fontId="0" fillId="5" borderId="7" xfId="0" applyFill="1" applyBorder="1" applyAlignment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 vertical="justify"/>
    </xf>
    <xf numFmtId="0" fontId="1" fillId="0" borderId="7" xfId="0" applyFont="1" applyBorder="1" applyAlignment="1">
      <alignment horizontal="center" vertical="justify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4" borderId="7" xfId="0" applyFont="1" applyFill="1" applyBorder="1"/>
    <xf numFmtId="0" fontId="1" fillId="0" borderId="0" xfId="0" applyFont="1" applyBorder="1" applyAlignment="1">
      <alignment vertical="justify"/>
    </xf>
    <xf numFmtId="0" fontId="1" fillId="3" borderId="0" xfId="0" applyFont="1" applyFill="1" applyBorder="1"/>
    <xf numFmtId="0" fontId="1" fillId="4" borderId="0" xfId="0" applyFont="1" applyFill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center" vertical="justify"/>
    </xf>
    <xf numFmtId="0" fontId="1" fillId="0" borderId="5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 vertical="justify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left" vertical="justify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 vertical="justify"/>
    </xf>
    <xf numFmtId="0" fontId="1" fillId="0" borderId="15" xfId="0" applyFont="1" applyBorder="1" applyAlignment="1">
      <alignment horizontal="center" vertical="justify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T30"/>
  <sheetViews>
    <sheetView workbookViewId="0">
      <selection activeCell="C26" sqref="C26:O26"/>
    </sheetView>
  </sheetViews>
  <sheetFormatPr defaultRowHeight="15"/>
  <cols>
    <col min="1" max="1" width="13.28515625" customWidth="1"/>
    <col min="2" max="2" width="9.5703125" customWidth="1"/>
    <col min="3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8.28515625" customWidth="1"/>
    <col min="13" max="13" width="7.85546875" customWidth="1"/>
    <col min="14" max="14" width="8.42578125" customWidth="1"/>
    <col min="15" max="15" width="10.28515625" customWidth="1"/>
    <col min="16" max="16" width="0.140625" customWidth="1"/>
    <col min="17" max="18" width="9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32</v>
      </c>
      <c r="N3" s="96"/>
      <c r="O3" s="96"/>
    </row>
    <row r="4" spans="1:20" ht="15.75" thickBot="1">
      <c r="A4" s="94" t="s">
        <v>14</v>
      </c>
      <c r="B4" s="95"/>
      <c r="C4" s="29"/>
      <c r="D4" s="1">
        <v>320.60000000000002</v>
      </c>
      <c r="E4" s="8" t="s">
        <v>27</v>
      </c>
      <c r="K4" s="97" t="s">
        <v>61</v>
      </c>
      <c r="L4" s="97"/>
      <c r="M4" s="97"/>
      <c r="N4" s="97"/>
      <c r="O4" s="3">
        <v>-3454.88</v>
      </c>
    </row>
    <row r="5" spans="1:20" ht="15.75" thickBot="1">
      <c r="A5" s="94" t="s">
        <v>13</v>
      </c>
      <c r="B5" s="95"/>
      <c r="C5" s="29"/>
      <c r="D5" s="1">
        <v>3</v>
      </c>
      <c r="K5" s="97" t="s">
        <v>84</v>
      </c>
      <c r="L5" s="97"/>
      <c r="M5" s="97"/>
      <c r="N5" s="97"/>
      <c r="O5" s="3">
        <v>5683.95</v>
      </c>
    </row>
    <row r="6" spans="1:20" ht="15.75" thickBot="1">
      <c r="A6" s="94" t="s">
        <v>15</v>
      </c>
      <c r="B6" s="95"/>
      <c r="C6" s="29"/>
      <c r="D6" s="1">
        <v>-1998.27</v>
      </c>
      <c r="K6" s="97" t="s">
        <v>62</v>
      </c>
      <c r="L6" s="97"/>
      <c r="M6" s="97"/>
      <c r="N6" s="97"/>
      <c r="O6" s="3"/>
    </row>
    <row r="7" spans="1:20">
      <c r="K7" s="102" t="s">
        <v>64</v>
      </c>
      <c r="L7" s="102"/>
      <c r="M7" s="97"/>
      <c r="N7" s="97"/>
      <c r="O7" s="3">
        <f>O4+O5-O6</f>
        <v>2229.0699999999997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79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88</v>
      </c>
      <c r="L9" s="53" t="s">
        <v>87</v>
      </c>
      <c r="M9" s="53" t="s">
        <v>95</v>
      </c>
      <c r="N9" s="60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12.41</v>
      </c>
      <c r="B10" s="10"/>
      <c r="C10" s="20"/>
      <c r="D10" s="6">
        <v>2.95</v>
      </c>
      <c r="E10" s="6">
        <v>1</v>
      </c>
      <c r="F10" s="6">
        <v>0.31</v>
      </c>
      <c r="G10" s="6">
        <v>0.43</v>
      </c>
      <c r="H10" s="6">
        <v>0.21</v>
      </c>
      <c r="I10" s="6">
        <v>0.5</v>
      </c>
      <c r="J10" s="6">
        <v>0.3</v>
      </c>
      <c r="K10" s="6"/>
      <c r="L10" s="6">
        <v>0.1</v>
      </c>
      <c r="M10" s="6">
        <v>0.45</v>
      </c>
      <c r="N10" s="61">
        <v>4.5</v>
      </c>
      <c r="O10" s="4">
        <v>1.66</v>
      </c>
      <c r="P10" s="4"/>
      <c r="Q10" s="3"/>
      <c r="R10" s="3"/>
    </row>
    <row r="11" spans="1:20">
      <c r="A11" s="3" t="s">
        <v>0</v>
      </c>
      <c r="B11" s="5">
        <v>4633.2700000000004</v>
      </c>
      <c r="C11" s="15"/>
      <c r="D11" s="3">
        <f>D10*320.6</f>
        <v>945.7700000000001</v>
      </c>
      <c r="E11" s="3">
        <f t="shared" ref="E11:O11" si="0">E10*320.6</f>
        <v>320.60000000000002</v>
      </c>
      <c r="F11" s="11">
        <f t="shared" si="0"/>
        <v>99.38600000000001</v>
      </c>
      <c r="G11" s="3"/>
      <c r="H11" s="3"/>
      <c r="I11" s="3">
        <f t="shared" si="0"/>
        <v>160.30000000000001</v>
      </c>
      <c r="J11" s="3">
        <f t="shared" si="0"/>
        <v>96.18</v>
      </c>
      <c r="K11" s="3"/>
      <c r="L11" s="57">
        <v>160</v>
      </c>
      <c r="M11" s="3">
        <f t="shared" si="0"/>
        <v>144.27000000000001</v>
      </c>
      <c r="N11" s="3">
        <v>7222.4</v>
      </c>
      <c r="O11" s="3">
        <f t="shared" si="0"/>
        <v>532.19600000000003</v>
      </c>
      <c r="P11" s="3"/>
      <c r="Q11" s="3">
        <f t="shared" ref="Q11:Q16" si="1">SUM(D11:P11)</f>
        <v>9681.101999999999</v>
      </c>
      <c r="R11" s="3">
        <f>D6+B11-Q11</f>
        <v>-7046.101999999999</v>
      </c>
    </row>
    <row r="12" spans="1:20">
      <c r="A12" s="3" t="s">
        <v>1</v>
      </c>
      <c r="B12" s="5">
        <v>2454.6999999999998</v>
      </c>
      <c r="C12" s="15"/>
      <c r="D12" s="3">
        <v>945.7700000000001</v>
      </c>
      <c r="E12" s="3">
        <v>320.60000000000002</v>
      </c>
      <c r="F12" s="11">
        <v>99.38600000000001</v>
      </c>
      <c r="G12" s="3"/>
      <c r="H12" s="3"/>
      <c r="I12" s="3">
        <v>160.30000000000001</v>
      </c>
      <c r="J12" s="3">
        <v>96.18</v>
      </c>
      <c r="K12" s="3"/>
      <c r="L12" s="3"/>
      <c r="M12" s="3">
        <v>144.27000000000001</v>
      </c>
      <c r="N12" s="3">
        <v>4251.76</v>
      </c>
      <c r="O12" s="3">
        <v>532.19600000000003</v>
      </c>
      <c r="P12" s="3"/>
      <c r="Q12" s="3">
        <f t="shared" si="1"/>
        <v>6550.4620000000004</v>
      </c>
      <c r="R12" s="3">
        <f>R11+B12-Q12</f>
        <v>-11141.864</v>
      </c>
    </row>
    <row r="13" spans="1:20">
      <c r="A13" s="3" t="s">
        <v>2</v>
      </c>
      <c r="B13" s="5">
        <v>5475.29</v>
      </c>
      <c r="C13" s="15"/>
      <c r="D13" s="3">
        <v>945.7700000000001</v>
      </c>
      <c r="E13" s="3">
        <v>320.60000000000002</v>
      </c>
      <c r="F13" s="11">
        <v>99.38600000000001</v>
      </c>
      <c r="G13" s="3">
        <v>137</v>
      </c>
      <c r="H13" s="3"/>
      <c r="I13" s="3">
        <v>160.30000000000001</v>
      </c>
      <c r="J13" s="3">
        <v>96.18</v>
      </c>
      <c r="K13" s="3"/>
      <c r="L13" s="3"/>
      <c r="M13" s="3">
        <v>144.27000000000001</v>
      </c>
      <c r="N13" s="3">
        <v>4014.59</v>
      </c>
      <c r="O13" s="3">
        <v>532.19600000000003</v>
      </c>
      <c r="P13" s="3"/>
      <c r="Q13" s="3">
        <f t="shared" si="1"/>
        <v>6450.2920000000004</v>
      </c>
      <c r="R13" s="3">
        <f>R12+B13-Q13</f>
        <v>-12116.866</v>
      </c>
    </row>
    <row r="14" spans="1:20">
      <c r="A14" s="3" t="s">
        <v>3</v>
      </c>
      <c r="B14" s="5">
        <v>3520.72</v>
      </c>
      <c r="C14" s="15"/>
      <c r="D14" s="3">
        <v>945.7700000000001</v>
      </c>
      <c r="E14" s="3">
        <v>320.60000000000002</v>
      </c>
      <c r="F14" s="11">
        <v>99.38600000000001</v>
      </c>
      <c r="G14" s="3"/>
      <c r="H14" s="3">
        <v>200</v>
      </c>
      <c r="I14" s="3">
        <v>160.30000000000001</v>
      </c>
      <c r="J14" s="3">
        <v>96.18</v>
      </c>
      <c r="K14" s="3"/>
      <c r="L14" s="3"/>
      <c r="M14" s="3">
        <v>144.27000000000001</v>
      </c>
      <c r="N14" s="3">
        <v>143.55000000000001</v>
      </c>
      <c r="O14" s="3">
        <v>532.19600000000003</v>
      </c>
      <c r="P14" s="3"/>
      <c r="Q14" s="3">
        <f t="shared" si="1"/>
        <v>2642.252</v>
      </c>
      <c r="R14" s="3">
        <f>R13+B14-Q14</f>
        <v>-11238.398000000001</v>
      </c>
    </row>
    <row r="15" spans="1:20">
      <c r="A15" s="3" t="s">
        <v>4</v>
      </c>
      <c r="B15" s="5">
        <v>2454.6999999999998</v>
      </c>
      <c r="C15" s="15"/>
      <c r="D15" s="3">
        <v>945.7700000000001</v>
      </c>
      <c r="E15" s="3">
        <v>320.60000000000002</v>
      </c>
      <c r="F15" s="11">
        <v>99.38600000000001</v>
      </c>
      <c r="G15" s="3"/>
      <c r="H15" s="3"/>
      <c r="I15" s="3">
        <v>160.30000000000001</v>
      </c>
      <c r="J15" s="3">
        <v>96.18</v>
      </c>
      <c r="K15" s="3"/>
      <c r="L15" s="3"/>
      <c r="M15" s="3">
        <v>144.27000000000001</v>
      </c>
      <c r="N15" s="3">
        <v>906.19</v>
      </c>
      <c r="O15" s="3">
        <v>532.19600000000003</v>
      </c>
      <c r="P15" s="3"/>
      <c r="Q15" s="3">
        <f t="shared" si="1"/>
        <v>3204.8919999999998</v>
      </c>
      <c r="R15" s="3">
        <f>R14+B15-Q15</f>
        <v>-11988.59</v>
      </c>
    </row>
    <row r="16" spans="1:20">
      <c r="A16" s="3" t="s">
        <v>5</v>
      </c>
      <c r="B16" s="5">
        <v>2454.6999999999998</v>
      </c>
      <c r="C16" s="15"/>
      <c r="D16" s="3">
        <v>945.7700000000001</v>
      </c>
      <c r="E16" s="3">
        <v>320.60000000000002</v>
      </c>
      <c r="F16" s="11">
        <v>99.38600000000001</v>
      </c>
      <c r="G16" s="3"/>
      <c r="H16" s="3"/>
      <c r="I16" s="3">
        <v>160.30000000000001</v>
      </c>
      <c r="J16" s="3">
        <v>96.18</v>
      </c>
      <c r="K16" s="3"/>
      <c r="L16" s="3"/>
      <c r="M16" s="3">
        <v>144.27000000000001</v>
      </c>
      <c r="N16" s="3">
        <v>2941.89</v>
      </c>
      <c r="O16" s="3">
        <v>532.19600000000003</v>
      </c>
      <c r="P16" s="3"/>
      <c r="Q16" s="3">
        <f t="shared" si="1"/>
        <v>5240.5919999999996</v>
      </c>
      <c r="R16" s="3">
        <f>R15+B16-Q16</f>
        <v>-14774.482</v>
      </c>
    </row>
    <row r="17" spans="1:18" s="45" customFormat="1">
      <c r="A17" s="6" t="s">
        <v>81</v>
      </c>
      <c r="B17" s="10">
        <f>SUM(B11:B16)</f>
        <v>20993.38</v>
      </c>
      <c r="C17" s="10">
        <f t="shared" ref="C17:Q17" si="2">SUM(C11:C16)</f>
        <v>0</v>
      </c>
      <c r="D17" s="10">
        <f t="shared" si="2"/>
        <v>5674.6200000000008</v>
      </c>
      <c r="E17" s="10">
        <f t="shared" si="2"/>
        <v>1923.6</v>
      </c>
      <c r="F17" s="10">
        <f t="shared" si="2"/>
        <v>596.31600000000003</v>
      </c>
      <c r="G17" s="10">
        <f t="shared" si="2"/>
        <v>137</v>
      </c>
      <c r="H17" s="10">
        <f t="shared" si="2"/>
        <v>200</v>
      </c>
      <c r="I17" s="10">
        <f t="shared" si="2"/>
        <v>961.8</v>
      </c>
      <c r="J17" s="10">
        <f t="shared" si="2"/>
        <v>577.08000000000004</v>
      </c>
      <c r="K17" s="10">
        <f t="shared" si="2"/>
        <v>0</v>
      </c>
      <c r="L17" s="10">
        <f t="shared" si="2"/>
        <v>160</v>
      </c>
      <c r="M17" s="10">
        <f t="shared" si="2"/>
        <v>865.62</v>
      </c>
      <c r="N17" s="10">
        <f t="shared" si="2"/>
        <v>19480.379999999997</v>
      </c>
      <c r="O17" s="10">
        <f t="shared" si="2"/>
        <v>3193.1759999999999</v>
      </c>
      <c r="P17" s="10">
        <f t="shared" si="2"/>
        <v>0</v>
      </c>
      <c r="Q17" s="10">
        <f t="shared" si="2"/>
        <v>33769.591999999997</v>
      </c>
      <c r="R17" s="6"/>
    </row>
    <row r="18" spans="1:18" s="43" customFormat="1">
      <c r="A18" s="41">
        <v>14.27</v>
      </c>
      <c r="B18" s="41"/>
      <c r="C18" s="20">
        <v>0.17</v>
      </c>
      <c r="D18" s="41">
        <v>2.65</v>
      </c>
      <c r="E18" s="41">
        <v>0.9</v>
      </c>
      <c r="F18" s="42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62" t="s">
        <v>89</v>
      </c>
      <c r="O18" s="41">
        <v>1.81</v>
      </c>
      <c r="P18" s="41"/>
      <c r="Q18" s="41"/>
      <c r="R18" s="3">
        <f>R16+B18-Q18</f>
        <v>-14774.482</v>
      </c>
    </row>
    <row r="19" spans="1:18">
      <c r="A19" s="3" t="s">
        <v>6</v>
      </c>
      <c r="B19" s="5">
        <v>2454.6999999999998</v>
      </c>
      <c r="C19" s="11">
        <f>B19*2.5/100</f>
        <v>61.3675</v>
      </c>
      <c r="D19" s="3">
        <f>D18*320.6</f>
        <v>849.59</v>
      </c>
      <c r="E19" s="3">
        <f t="shared" ref="E19:O19" si="3">E18*320.6</f>
        <v>288.54000000000002</v>
      </c>
      <c r="F19" s="3">
        <f t="shared" si="3"/>
        <v>160.30000000000001</v>
      </c>
      <c r="G19" s="3"/>
      <c r="H19" s="3"/>
      <c r="I19" s="3">
        <f t="shared" si="3"/>
        <v>128.24</v>
      </c>
      <c r="J19" s="3">
        <f t="shared" si="3"/>
        <v>96.18</v>
      </c>
      <c r="K19" s="11">
        <f t="shared" si="3"/>
        <v>35.266000000000005</v>
      </c>
      <c r="L19" s="11"/>
      <c r="M19" s="3">
        <f t="shared" si="3"/>
        <v>304.57</v>
      </c>
      <c r="N19" s="3">
        <v>66.64</v>
      </c>
      <c r="O19" s="11">
        <f t="shared" si="3"/>
        <v>580.28600000000006</v>
      </c>
      <c r="P19" s="3"/>
      <c r="Q19" s="11">
        <f>SUM(C19:O19)</f>
        <v>2570.9795000000004</v>
      </c>
      <c r="R19" s="3">
        <f t="shared" ref="R19:R24" si="4">R18+B19-Q19</f>
        <v>-14890.761500000001</v>
      </c>
    </row>
    <row r="20" spans="1:18">
      <c r="A20" s="3" t="s">
        <v>7</v>
      </c>
      <c r="B20" s="5">
        <v>4767.49</v>
      </c>
      <c r="C20" s="11">
        <f t="shared" ref="C20:C24" si="5">B20*2.5/100</f>
        <v>119.18724999999999</v>
      </c>
      <c r="D20" s="11">
        <v>849.59</v>
      </c>
      <c r="E20" s="11">
        <v>288.54000000000002</v>
      </c>
      <c r="F20" s="11">
        <v>160.30000000000001</v>
      </c>
      <c r="G20" s="11"/>
      <c r="H20" s="11"/>
      <c r="I20" s="11">
        <v>128.24</v>
      </c>
      <c r="J20" s="11">
        <v>96.18</v>
      </c>
      <c r="K20" s="11">
        <v>35.270000000000003</v>
      </c>
      <c r="L20" s="11"/>
      <c r="M20" s="11">
        <v>304.57</v>
      </c>
      <c r="N20" s="66">
        <v>2322.5500000000002</v>
      </c>
      <c r="O20" s="11">
        <v>580.28600000000006</v>
      </c>
      <c r="P20" s="3"/>
      <c r="Q20" s="11">
        <f t="shared" ref="Q20:Q24" si="6">SUM(C20:O20)</f>
        <v>4884.7132500000007</v>
      </c>
      <c r="R20" s="3">
        <f t="shared" si="4"/>
        <v>-15007.984750000001</v>
      </c>
    </row>
    <row r="21" spans="1:18">
      <c r="A21" s="3" t="s">
        <v>8</v>
      </c>
      <c r="B21" s="5">
        <v>3724.37</v>
      </c>
      <c r="C21" s="11">
        <f t="shared" si="5"/>
        <v>93.109249999999989</v>
      </c>
      <c r="D21" s="11">
        <v>849.59</v>
      </c>
      <c r="E21" s="11">
        <v>288.54000000000002</v>
      </c>
      <c r="F21" s="11">
        <v>160.30000000000001</v>
      </c>
      <c r="G21" s="3"/>
      <c r="H21" s="3"/>
      <c r="I21" s="11">
        <v>128.24</v>
      </c>
      <c r="J21" s="11">
        <v>96.18</v>
      </c>
      <c r="K21" s="11">
        <v>35.270000000000003</v>
      </c>
      <c r="L21" s="11"/>
      <c r="M21" s="11">
        <v>304.57</v>
      </c>
      <c r="N21" s="3">
        <v>264.39999999999998</v>
      </c>
      <c r="O21" s="3">
        <v>580.29</v>
      </c>
      <c r="P21" s="3"/>
      <c r="Q21" s="11">
        <f t="shared" si="6"/>
        <v>2800.4892500000001</v>
      </c>
      <c r="R21" s="3">
        <f t="shared" si="4"/>
        <v>-14084.104000000001</v>
      </c>
    </row>
    <row r="22" spans="1:18">
      <c r="A22" s="3" t="s">
        <v>9</v>
      </c>
      <c r="B22" s="5">
        <v>2453.12</v>
      </c>
      <c r="C22" s="11">
        <f t="shared" si="5"/>
        <v>61.327999999999996</v>
      </c>
      <c r="D22" s="11">
        <v>849.59</v>
      </c>
      <c r="E22" s="11">
        <v>288.54000000000002</v>
      </c>
      <c r="F22" s="11">
        <v>160.30000000000001</v>
      </c>
      <c r="G22" s="3"/>
      <c r="H22" s="3"/>
      <c r="I22" s="11">
        <v>128.24</v>
      </c>
      <c r="J22" s="11">
        <v>96.18</v>
      </c>
      <c r="K22" s="11">
        <v>35.270000000000003</v>
      </c>
      <c r="L22" s="11"/>
      <c r="M22" s="11">
        <v>304.57</v>
      </c>
      <c r="N22" s="3">
        <v>629.12</v>
      </c>
      <c r="O22" s="11">
        <f>D4*2.16</f>
        <v>692.49600000000009</v>
      </c>
      <c r="P22" s="3"/>
      <c r="Q22" s="11">
        <f t="shared" si="6"/>
        <v>3245.634</v>
      </c>
      <c r="R22" s="3">
        <f t="shared" si="4"/>
        <v>-14876.618</v>
      </c>
    </row>
    <row r="23" spans="1:18">
      <c r="A23" s="3" t="s">
        <v>10</v>
      </c>
      <c r="B23" s="5">
        <v>2822.61</v>
      </c>
      <c r="C23" s="11">
        <f t="shared" si="5"/>
        <v>70.565250000000006</v>
      </c>
      <c r="D23" s="11">
        <v>849.59</v>
      </c>
      <c r="E23" s="11">
        <v>288.54000000000002</v>
      </c>
      <c r="F23" s="11">
        <v>160.30000000000001</v>
      </c>
      <c r="G23" s="3"/>
      <c r="H23" s="3"/>
      <c r="I23" s="11">
        <v>128.24</v>
      </c>
      <c r="J23" s="11">
        <v>96.18</v>
      </c>
      <c r="K23" s="11">
        <v>35.270000000000003</v>
      </c>
      <c r="L23" s="11"/>
      <c r="M23" s="11">
        <v>304.57</v>
      </c>
      <c r="N23" s="3">
        <v>160.37</v>
      </c>
      <c r="O23" s="11">
        <f>O22</f>
        <v>692.49600000000009</v>
      </c>
      <c r="P23" s="3"/>
      <c r="Q23" s="11">
        <f t="shared" si="6"/>
        <v>2786.1212500000001</v>
      </c>
      <c r="R23" s="3">
        <f t="shared" si="4"/>
        <v>-14840.12925</v>
      </c>
    </row>
    <row r="24" spans="1:18">
      <c r="A24" s="3" t="s">
        <v>11</v>
      </c>
      <c r="B24" s="5">
        <v>2294.62</v>
      </c>
      <c r="C24" s="11">
        <f t="shared" si="5"/>
        <v>57.36549999999999</v>
      </c>
      <c r="D24" s="11">
        <v>849.59</v>
      </c>
      <c r="E24" s="11">
        <v>288.54000000000002</v>
      </c>
      <c r="F24" s="11">
        <v>160.30000000000001</v>
      </c>
      <c r="G24" s="3"/>
      <c r="H24" s="3">
        <v>200</v>
      </c>
      <c r="I24" s="11">
        <v>128.24</v>
      </c>
      <c r="J24" s="11">
        <v>96.18</v>
      </c>
      <c r="K24" s="11">
        <v>35.270000000000003</v>
      </c>
      <c r="L24" s="11"/>
      <c r="M24" s="11">
        <v>304.57</v>
      </c>
      <c r="N24" s="3">
        <v>644.72</v>
      </c>
      <c r="O24" s="11">
        <f>O23</f>
        <v>692.49600000000009</v>
      </c>
      <c r="P24" s="3"/>
      <c r="Q24" s="11">
        <f t="shared" si="6"/>
        <v>3457.2714999999998</v>
      </c>
      <c r="R24" s="3">
        <f t="shared" si="4"/>
        <v>-16002.780749999998</v>
      </c>
    </row>
    <row r="25" spans="1:18" s="45" customFormat="1">
      <c r="A25" s="6" t="s">
        <v>82</v>
      </c>
      <c r="B25" s="10">
        <f>SUM(B19:B24)</f>
        <v>18516.91</v>
      </c>
      <c r="C25" s="10">
        <f t="shared" ref="C25:Q25" si="7">SUM(C19:C24)</f>
        <v>462.92274999999995</v>
      </c>
      <c r="D25" s="10">
        <f t="shared" si="7"/>
        <v>5097.54</v>
      </c>
      <c r="E25" s="10">
        <f t="shared" si="7"/>
        <v>1731.24</v>
      </c>
      <c r="F25" s="10">
        <f t="shared" si="7"/>
        <v>961.8</v>
      </c>
      <c r="G25" s="10">
        <f t="shared" si="7"/>
        <v>0</v>
      </c>
      <c r="H25" s="10">
        <f t="shared" si="7"/>
        <v>200</v>
      </c>
      <c r="I25" s="10">
        <f t="shared" si="7"/>
        <v>769.44</v>
      </c>
      <c r="J25" s="10">
        <f t="shared" si="7"/>
        <v>577.08000000000004</v>
      </c>
      <c r="K25" s="10">
        <f t="shared" si="7"/>
        <v>211.61600000000004</v>
      </c>
      <c r="L25" s="10">
        <f t="shared" si="7"/>
        <v>0</v>
      </c>
      <c r="M25" s="10">
        <f t="shared" si="7"/>
        <v>1827.4199999999998</v>
      </c>
      <c r="N25" s="10">
        <f t="shared" si="7"/>
        <v>4087.8</v>
      </c>
      <c r="O25" s="10">
        <f t="shared" si="7"/>
        <v>3818.3500000000004</v>
      </c>
      <c r="P25" s="10">
        <f t="shared" si="7"/>
        <v>0</v>
      </c>
      <c r="Q25" s="10">
        <f t="shared" si="7"/>
        <v>19745.208750000002</v>
      </c>
      <c r="R25" s="6"/>
    </row>
    <row r="26" spans="1:18" s="47" customFormat="1">
      <c r="A26" s="46" t="s">
        <v>55</v>
      </c>
      <c r="B26" s="46">
        <f>B17+B25</f>
        <v>39510.29</v>
      </c>
      <c r="C26" s="46">
        <f t="shared" ref="C26:Q26" si="8">C17+C25</f>
        <v>462.92274999999995</v>
      </c>
      <c r="D26" s="46">
        <f t="shared" si="8"/>
        <v>10772.16</v>
      </c>
      <c r="E26" s="46">
        <f t="shared" si="8"/>
        <v>3654.84</v>
      </c>
      <c r="F26" s="46">
        <f t="shared" si="8"/>
        <v>1558.116</v>
      </c>
      <c r="G26" s="46">
        <f t="shared" si="8"/>
        <v>137</v>
      </c>
      <c r="H26" s="46">
        <f t="shared" si="8"/>
        <v>400</v>
      </c>
      <c r="I26" s="46">
        <f t="shared" si="8"/>
        <v>1731.24</v>
      </c>
      <c r="J26" s="46">
        <f t="shared" si="8"/>
        <v>1154.1600000000001</v>
      </c>
      <c r="K26" s="46">
        <f t="shared" si="8"/>
        <v>211.61600000000004</v>
      </c>
      <c r="L26" s="46">
        <f t="shared" si="8"/>
        <v>160</v>
      </c>
      <c r="M26" s="46">
        <f t="shared" si="8"/>
        <v>2693.04</v>
      </c>
      <c r="N26" s="46">
        <f t="shared" si="8"/>
        <v>23568.179999999997</v>
      </c>
      <c r="O26" s="46">
        <f t="shared" si="8"/>
        <v>7011.5259999999998</v>
      </c>
      <c r="P26" s="46">
        <f t="shared" si="8"/>
        <v>0</v>
      </c>
      <c r="Q26" s="46">
        <f t="shared" si="8"/>
        <v>53514.800749999995</v>
      </c>
      <c r="R26" s="46">
        <f>D6+B26-Q26</f>
        <v>-16002.780749999991</v>
      </c>
    </row>
    <row r="28" spans="1:18">
      <c r="A28" s="106" t="s">
        <v>59</v>
      </c>
      <c r="B28" s="106"/>
      <c r="C28" s="30"/>
      <c r="D28" s="57">
        <v>1200</v>
      </c>
    </row>
    <row r="30" spans="1:18">
      <c r="A30" s="106" t="s">
        <v>65</v>
      </c>
      <c r="B30" s="106"/>
      <c r="C30" s="30"/>
      <c r="D30" s="57">
        <v>160</v>
      </c>
    </row>
  </sheetData>
  <mergeCells count="19">
    <mergeCell ref="A30:B30"/>
    <mergeCell ref="A28:B28"/>
    <mergeCell ref="A6:B6"/>
    <mergeCell ref="A8:A9"/>
    <mergeCell ref="B8:B9"/>
    <mergeCell ref="D8:P8"/>
    <mergeCell ref="K6:N6"/>
    <mergeCell ref="K7:N7"/>
    <mergeCell ref="Q8:Q9"/>
    <mergeCell ref="R8:R9"/>
    <mergeCell ref="A5:B5"/>
    <mergeCell ref="N3:O3"/>
    <mergeCell ref="K4:N4"/>
    <mergeCell ref="K5:N5"/>
    <mergeCell ref="A1:R1"/>
    <mergeCell ref="A3:B3"/>
    <mergeCell ref="D3:E3"/>
    <mergeCell ref="F3:G3"/>
    <mergeCell ref="A4:B4"/>
  </mergeCells>
  <pageMargins left="0.25" right="0.25" top="0.75" bottom="0.75" header="0.3" footer="0.3"/>
  <pageSetup paperSize="9" scale="9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T30"/>
  <sheetViews>
    <sheetView topLeftCell="A10" workbookViewId="0">
      <selection activeCell="C25" sqref="C25:P25"/>
    </sheetView>
  </sheetViews>
  <sheetFormatPr defaultRowHeight="15"/>
  <cols>
    <col min="1" max="1" width="12.85546875" customWidth="1"/>
    <col min="2" max="2" width="10.5703125" customWidth="1"/>
    <col min="3" max="3" width="8.85546875" customWidth="1"/>
    <col min="4" max="4" width="8.7109375" customWidth="1"/>
    <col min="6" max="6" width="8" customWidth="1"/>
    <col min="7" max="7" width="7.140625" customWidth="1"/>
    <col min="8" max="8" width="7.7109375" customWidth="1"/>
    <col min="9" max="9" width="7.42578125" customWidth="1"/>
    <col min="10" max="10" width="7.5703125" customWidth="1"/>
    <col min="11" max="12" width="7.7109375" customWidth="1"/>
    <col min="13" max="13" width="7.85546875" customWidth="1"/>
    <col min="14" max="14" width="8.42578125" customWidth="1"/>
    <col min="15" max="15" width="8" customWidth="1"/>
    <col min="16" max="18" width="9.855468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41</v>
      </c>
      <c r="K3" s="96" t="s">
        <v>63</v>
      </c>
      <c r="L3" s="96"/>
      <c r="M3" s="96"/>
      <c r="N3" s="96"/>
      <c r="O3" s="96"/>
      <c r="P3" s="96"/>
    </row>
    <row r="4" spans="1:20" ht="15.75" thickBot="1">
      <c r="A4" s="94" t="s">
        <v>14</v>
      </c>
      <c r="B4" s="95"/>
      <c r="C4" s="31"/>
      <c r="D4" s="1">
        <v>988.2</v>
      </c>
      <c r="E4" s="8" t="s">
        <v>27</v>
      </c>
      <c r="K4" s="97" t="s">
        <v>61</v>
      </c>
      <c r="L4" s="97"/>
      <c r="M4" s="97"/>
      <c r="N4" s="97"/>
      <c r="O4" s="123">
        <v>39307.99</v>
      </c>
      <c r="P4" s="123"/>
    </row>
    <row r="5" spans="1:20" ht="15.75" thickBot="1">
      <c r="A5" s="94" t="s">
        <v>13</v>
      </c>
      <c r="B5" s="95"/>
      <c r="C5" s="31"/>
      <c r="D5" s="1">
        <v>2</v>
      </c>
      <c r="K5" s="97" t="s">
        <v>84</v>
      </c>
      <c r="L5" s="97"/>
      <c r="M5" s="97"/>
      <c r="N5" s="97"/>
      <c r="O5" s="123">
        <v>20035.759999999998</v>
      </c>
      <c r="P5" s="123"/>
    </row>
    <row r="6" spans="1:20" ht="15.75" thickBot="1">
      <c r="A6" s="94" t="s">
        <v>15</v>
      </c>
      <c r="B6" s="95"/>
      <c r="C6" s="31"/>
      <c r="D6" s="1">
        <v>53745.27</v>
      </c>
      <c r="K6" s="97" t="s">
        <v>62</v>
      </c>
      <c r="L6" s="97"/>
      <c r="M6" s="97"/>
      <c r="N6" s="97"/>
      <c r="O6" s="123"/>
      <c r="P6" s="123"/>
    </row>
    <row r="7" spans="1:20">
      <c r="K7" s="102" t="s">
        <v>64</v>
      </c>
      <c r="L7" s="102"/>
      <c r="M7" s="97"/>
      <c r="N7" s="97"/>
      <c r="O7" s="106">
        <f>SUM(O4:P6)</f>
        <v>59343.75</v>
      </c>
      <c r="P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40.14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>
        <v>0.1</v>
      </c>
      <c r="L10" s="6">
        <v>0.1</v>
      </c>
      <c r="M10" s="6">
        <v>0.45</v>
      </c>
      <c r="N10" s="65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26991.89</v>
      </c>
      <c r="C11" s="44"/>
      <c r="D11" s="3">
        <f>D10*988.2</f>
        <v>2915.1900000000005</v>
      </c>
      <c r="E11" s="3">
        <f t="shared" ref="E11:O11" si="0">E10*988.2</f>
        <v>1087.0200000000002</v>
      </c>
      <c r="F11" s="3">
        <f t="shared" si="0"/>
        <v>494.1</v>
      </c>
      <c r="G11" s="3"/>
      <c r="H11" s="3"/>
      <c r="I11" s="3">
        <f t="shared" si="0"/>
        <v>494.1</v>
      </c>
      <c r="J11" s="3">
        <f t="shared" si="0"/>
        <v>296.45999999999998</v>
      </c>
      <c r="K11" s="3"/>
      <c r="L11" s="57">
        <v>160</v>
      </c>
      <c r="M11" s="3">
        <f t="shared" si="0"/>
        <v>444.69000000000005</v>
      </c>
      <c r="N11" s="3">
        <v>4781.49</v>
      </c>
      <c r="O11" s="3">
        <f t="shared" si="0"/>
        <v>1640.412</v>
      </c>
      <c r="P11" s="3">
        <v>12559.5</v>
      </c>
      <c r="Q11" s="3">
        <f t="shared" ref="Q11:Q16" si="1">SUM(D11:P11)</f>
        <v>24872.962</v>
      </c>
      <c r="R11" s="11">
        <f>D6+B11-Q11</f>
        <v>55864.198000000004</v>
      </c>
    </row>
    <row r="12" spans="1:20">
      <c r="A12" s="3" t="s">
        <v>1</v>
      </c>
      <c r="B12" s="5">
        <v>26328.11</v>
      </c>
      <c r="C12" s="44"/>
      <c r="D12" s="3">
        <v>2915.1900000000005</v>
      </c>
      <c r="E12" s="3">
        <v>1087.0200000000002</v>
      </c>
      <c r="F12" s="3">
        <v>494.1</v>
      </c>
      <c r="G12" s="3"/>
      <c r="H12" s="3"/>
      <c r="I12" s="3">
        <v>494.1</v>
      </c>
      <c r="J12" s="3">
        <v>296.45999999999998</v>
      </c>
      <c r="K12" s="3"/>
      <c r="L12" s="3"/>
      <c r="M12" s="3">
        <v>444.69000000000005</v>
      </c>
      <c r="N12" s="3">
        <v>8372.0400000000009</v>
      </c>
      <c r="O12" s="3">
        <v>1640.412</v>
      </c>
      <c r="P12" s="3">
        <v>14234.1</v>
      </c>
      <c r="Q12" s="3">
        <f t="shared" si="1"/>
        <v>29978.112000000001</v>
      </c>
      <c r="R12" s="11">
        <f>R11+B12-Q12</f>
        <v>52214.196000000004</v>
      </c>
    </row>
    <row r="13" spans="1:20">
      <c r="A13" s="3" t="s">
        <v>2</v>
      </c>
      <c r="B13" s="5">
        <v>29286.01</v>
      </c>
      <c r="C13" s="44"/>
      <c r="D13" s="3">
        <v>2915.1900000000005</v>
      </c>
      <c r="E13" s="3">
        <v>1087.0200000000002</v>
      </c>
      <c r="F13" s="3">
        <v>494.1</v>
      </c>
      <c r="G13" s="3">
        <v>5679.98</v>
      </c>
      <c r="H13" s="3"/>
      <c r="I13" s="3">
        <v>494.1</v>
      </c>
      <c r="J13" s="3">
        <v>296.45999999999998</v>
      </c>
      <c r="K13" s="3"/>
      <c r="L13" s="3"/>
      <c r="M13" s="3">
        <v>444.69000000000005</v>
      </c>
      <c r="N13" s="3">
        <v>8168.34</v>
      </c>
      <c r="O13" s="3">
        <v>1640.412</v>
      </c>
      <c r="P13" s="3">
        <v>16327.35</v>
      </c>
      <c r="Q13" s="3">
        <f t="shared" si="1"/>
        <v>37547.642</v>
      </c>
      <c r="R13" s="11">
        <f>R12+B13-Q13</f>
        <v>43952.564000000006</v>
      </c>
    </row>
    <row r="14" spans="1:20">
      <c r="A14" s="3" t="s">
        <v>3</v>
      </c>
      <c r="B14" s="5">
        <v>19628.39</v>
      </c>
      <c r="C14" s="44"/>
      <c r="D14" s="3">
        <v>2915.1900000000005</v>
      </c>
      <c r="E14" s="3">
        <v>1087.0200000000002</v>
      </c>
      <c r="F14" s="3">
        <v>494.1</v>
      </c>
      <c r="G14" s="3"/>
      <c r="H14" s="3">
        <v>2520</v>
      </c>
      <c r="I14" s="3">
        <v>494.1</v>
      </c>
      <c r="J14" s="3">
        <v>296.45999999999998</v>
      </c>
      <c r="K14" s="3"/>
      <c r="L14" s="3"/>
      <c r="M14" s="3">
        <v>444.69000000000005</v>
      </c>
      <c r="N14" s="3">
        <v>1231.5</v>
      </c>
      <c r="O14" s="3">
        <v>1640.412</v>
      </c>
      <c r="P14" s="3">
        <v>11722.2</v>
      </c>
      <c r="Q14" s="3">
        <f t="shared" si="1"/>
        <v>22845.672000000002</v>
      </c>
      <c r="R14" s="11">
        <f>R13+B14-Q14</f>
        <v>40735.282000000007</v>
      </c>
    </row>
    <row r="15" spans="1:20">
      <c r="A15" s="3" t="s">
        <v>4</v>
      </c>
      <c r="B15" s="5">
        <v>21443.51</v>
      </c>
      <c r="C15" s="44"/>
      <c r="D15" s="3">
        <v>2915.1900000000005</v>
      </c>
      <c r="E15" s="3">
        <v>1087.0200000000002</v>
      </c>
      <c r="F15" s="3">
        <v>494.1</v>
      </c>
      <c r="G15" s="3"/>
      <c r="H15" s="3"/>
      <c r="I15" s="3">
        <v>494.1</v>
      </c>
      <c r="J15" s="3">
        <v>296.45999999999998</v>
      </c>
      <c r="K15" s="3"/>
      <c r="L15" s="3"/>
      <c r="M15" s="3">
        <v>444.69000000000005</v>
      </c>
      <c r="N15" s="3">
        <v>731.38</v>
      </c>
      <c r="O15" s="3">
        <v>1640.412</v>
      </c>
      <c r="P15" s="3">
        <v>13815.45</v>
      </c>
      <c r="Q15" s="3">
        <f t="shared" si="1"/>
        <v>21918.802000000003</v>
      </c>
      <c r="R15" s="11">
        <f>R14+B15-Q15</f>
        <v>40259.99</v>
      </c>
    </row>
    <row r="16" spans="1:20">
      <c r="A16" s="3" t="s">
        <v>5</v>
      </c>
      <c r="B16" s="5">
        <v>26186.49</v>
      </c>
      <c r="C16" s="44"/>
      <c r="D16" s="3">
        <v>2915.1900000000005</v>
      </c>
      <c r="E16" s="3">
        <v>1087.0200000000002</v>
      </c>
      <c r="F16" s="3">
        <v>494.1</v>
      </c>
      <c r="G16" s="3"/>
      <c r="H16" s="3"/>
      <c r="I16" s="3">
        <v>494.1</v>
      </c>
      <c r="J16" s="3">
        <v>296.45999999999998</v>
      </c>
      <c r="K16" s="15"/>
      <c r="L16" s="57">
        <v>3000</v>
      </c>
      <c r="M16" s="3">
        <v>444.69000000000005</v>
      </c>
      <c r="N16" s="3">
        <v>112.08</v>
      </c>
      <c r="O16" s="3">
        <v>1640.412</v>
      </c>
      <c r="P16" s="3">
        <v>13396.8</v>
      </c>
      <c r="Q16" s="3">
        <f t="shared" si="1"/>
        <v>23880.852000000003</v>
      </c>
      <c r="R16" s="11">
        <f>R15+B16-Q16</f>
        <v>42565.627999999997</v>
      </c>
    </row>
    <row r="17" spans="1:18" s="45" customFormat="1">
      <c r="A17" s="6" t="s">
        <v>81</v>
      </c>
      <c r="B17" s="10">
        <f>SUM(B11:B16)</f>
        <v>149864.4</v>
      </c>
      <c r="C17" s="10">
        <f t="shared" ref="C17:Q17" si="2">SUM(C11:C16)</f>
        <v>0</v>
      </c>
      <c r="D17" s="10">
        <f t="shared" si="2"/>
        <v>17491.140000000003</v>
      </c>
      <c r="E17" s="10">
        <f t="shared" si="2"/>
        <v>6522.1200000000017</v>
      </c>
      <c r="F17" s="10">
        <f t="shared" si="2"/>
        <v>2964.6</v>
      </c>
      <c r="G17" s="10">
        <f t="shared" si="2"/>
        <v>5679.98</v>
      </c>
      <c r="H17" s="10">
        <f t="shared" si="2"/>
        <v>2520</v>
      </c>
      <c r="I17" s="10">
        <f t="shared" si="2"/>
        <v>2964.6</v>
      </c>
      <c r="J17" s="10">
        <f t="shared" si="2"/>
        <v>1778.76</v>
      </c>
      <c r="K17" s="10">
        <f t="shared" si="2"/>
        <v>0</v>
      </c>
      <c r="L17" s="10">
        <f t="shared" si="2"/>
        <v>3160</v>
      </c>
      <c r="M17" s="10">
        <f t="shared" si="2"/>
        <v>2668.1400000000003</v>
      </c>
      <c r="N17" s="10">
        <f t="shared" si="2"/>
        <v>23396.830000000005</v>
      </c>
      <c r="O17" s="10">
        <f t="shared" si="2"/>
        <v>9842.4719999999998</v>
      </c>
      <c r="P17" s="10">
        <f t="shared" si="2"/>
        <v>82055.399999999994</v>
      </c>
      <c r="Q17" s="10">
        <f t="shared" si="2"/>
        <v>161044.04200000002</v>
      </c>
      <c r="R17" s="48"/>
    </row>
    <row r="18" spans="1:18" s="43" customFormat="1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1">
        <v>1.81</v>
      </c>
      <c r="P18" s="41">
        <v>25.63</v>
      </c>
      <c r="Q18" s="41"/>
      <c r="R18" s="11">
        <f>R16+B18-Q18</f>
        <v>42565.627999999997</v>
      </c>
    </row>
    <row r="19" spans="1:18">
      <c r="A19" s="3" t="s">
        <v>6</v>
      </c>
      <c r="B19" s="5">
        <v>28740.14</v>
      </c>
      <c r="C19" s="44">
        <f t="shared" ref="C19:C24" si="3">B19*2.5/100</f>
        <v>718.50350000000003</v>
      </c>
      <c r="D19" s="3">
        <f>D18*988.2</f>
        <v>2618.73</v>
      </c>
      <c r="E19" s="3">
        <f t="shared" ref="E19:O19" si="4">E18*988.2</f>
        <v>889.38000000000011</v>
      </c>
      <c r="F19" s="3">
        <f t="shared" si="4"/>
        <v>494.1</v>
      </c>
      <c r="G19" s="3"/>
      <c r="H19" s="3"/>
      <c r="I19" s="3">
        <f t="shared" si="4"/>
        <v>395.28000000000003</v>
      </c>
      <c r="J19" s="3">
        <f t="shared" si="4"/>
        <v>296.45999999999998</v>
      </c>
      <c r="K19" s="11">
        <f t="shared" si="4"/>
        <v>108.70200000000001</v>
      </c>
      <c r="L19" s="11"/>
      <c r="M19" s="3">
        <f t="shared" si="4"/>
        <v>938.79</v>
      </c>
      <c r="N19" s="74">
        <v>3001.31</v>
      </c>
      <c r="O19" s="3">
        <f t="shared" si="4"/>
        <v>1788.6420000000001</v>
      </c>
      <c r="P19" s="3">
        <v>13815.45</v>
      </c>
      <c r="Q19" s="11">
        <f>SUM(C19:P19)</f>
        <v>25065.347500000003</v>
      </c>
      <c r="R19" s="11">
        <f t="shared" ref="R19:R24" si="5">R18+B19-Q19</f>
        <v>46240.420499999993</v>
      </c>
    </row>
    <row r="20" spans="1:18">
      <c r="A20" s="3" t="s">
        <v>7</v>
      </c>
      <c r="B20" s="5">
        <v>27412</v>
      </c>
      <c r="C20" s="44">
        <f t="shared" si="3"/>
        <v>685.3</v>
      </c>
      <c r="D20" s="3">
        <v>2618.73</v>
      </c>
      <c r="E20" s="3">
        <v>889.38000000000011</v>
      </c>
      <c r="F20" s="3">
        <v>494.1</v>
      </c>
      <c r="G20" s="3"/>
      <c r="H20" s="3"/>
      <c r="I20" s="3">
        <v>395.28000000000003</v>
      </c>
      <c r="J20" s="3">
        <v>296.45999999999998</v>
      </c>
      <c r="K20" s="11">
        <v>108.7</v>
      </c>
      <c r="L20" s="11"/>
      <c r="M20" s="3">
        <v>938.79</v>
      </c>
      <c r="N20" s="80">
        <v>57469.84</v>
      </c>
      <c r="O20" s="3">
        <v>1788.6420000000001</v>
      </c>
      <c r="P20" s="3">
        <v>15908.7</v>
      </c>
      <c r="Q20" s="11">
        <f t="shared" ref="Q20:Q24" si="6">SUM(C20:P20)</f>
        <v>81593.921999999991</v>
      </c>
      <c r="R20" s="11">
        <f t="shared" si="5"/>
        <v>-7941.5014999999985</v>
      </c>
    </row>
    <row r="21" spans="1:18">
      <c r="A21" s="3" t="s">
        <v>8</v>
      </c>
      <c r="B21" s="5">
        <v>28462.13</v>
      </c>
      <c r="C21" s="44">
        <f t="shared" si="3"/>
        <v>711.55324999999993</v>
      </c>
      <c r="D21" s="3">
        <v>2618.73</v>
      </c>
      <c r="E21" s="3">
        <v>889.38000000000011</v>
      </c>
      <c r="F21" s="3">
        <v>494.1</v>
      </c>
      <c r="G21" s="3"/>
      <c r="H21" s="3"/>
      <c r="I21" s="3">
        <v>395.28000000000003</v>
      </c>
      <c r="J21" s="3">
        <v>296.45999999999998</v>
      </c>
      <c r="K21" s="11">
        <v>108.7</v>
      </c>
      <c r="L21" s="11"/>
      <c r="M21" s="3">
        <v>938.79</v>
      </c>
      <c r="N21" s="3">
        <v>353.86</v>
      </c>
      <c r="O21" s="3">
        <v>1788.6420000000001</v>
      </c>
      <c r="P21" s="3">
        <v>12140.85</v>
      </c>
      <c r="Q21" s="11">
        <f t="shared" si="6"/>
        <v>20736.345249999998</v>
      </c>
      <c r="R21" s="11">
        <f t="shared" si="5"/>
        <v>-215.71674999999595</v>
      </c>
    </row>
    <row r="22" spans="1:18">
      <c r="A22" s="3" t="s">
        <v>9</v>
      </c>
      <c r="B22" s="5">
        <v>23644.13</v>
      </c>
      <c r="C22" s="44">
        <f t="shared" si="3"/>
        <v>591.10325</v>
      </c>
      <c r="D22" s="3">
        <v>2618.73</v>
      </c>
      <c r="E22" s="3">
        <v>889.38000000000011</v>
      </c>
      <c r="F22" s="3">
        <v>494.1</v>
      </c>
      <c r="G22" s="3"/>
      <c r="H22" s="3"/>
      <c r="I22" s="3">
        <v>395.28000000000003</v>
      </c>
      <c r="J22" s="3">
        <v>296.45999999999998</v>
      </c>
      <c r="K22" s="11">
        <v>108.7</v>
      </c>
      <c r="L22" s="11"/>
      <c r="M22" s="3">
        <v>938.79</v>
      </c>
      <c r="N22" s="3">
        <v>3754.32</v>
      </c>
      <c r="O22" s="3">
        <f>D4*2.16</f>
        <v>2134.5120000000002</v>
      </c>
      <c r="P22" s="3">
        <v>14652.75</v>
      </c>
      <c r="Q22" s="11">
        <f t="shared" si="6"/>
        <v>26874.125250000001</v>
      </c>
      <c r="R22" s="11">
        <f t="shared" si="5"/>
        <v>-3445.7119999999959</v>
      </c>
    </row>
    <row r="23" spans="1:18">
      <c r="A23" s="3" t="s">
        <v>10</v>
      </c>
      <c r="B23" s="5">
        <v>33802.870000000003</v>
      </c>
      <c r="C23" s="44">
        <f t="shared" si="3"/>
        <v>845.07175000000007</v>
      </c>
      <c r="D23" s="3">
        <v>2618.73</v>
      </c>
      <c r="E23" s="3">
        <v>889.38000000000011</v>
      </c>
      <c r="F23" s="3">
        <v>494.1</v>
      </c>
      <c r="G23" s="3"/>
      <c r="H23" s="3"/>
      <c r="I23" s="3">
        <v>395.28000000000003</v>
      </c>
      <c r="J23" s="3">
        <v>296.45999999999998</v>
      </c>
      <c r="K23" s="11">
        <v>108.7</v>
      </c>
      <c r="L23" s="11"/>
      <c r="M23" s="3">
        <v>938.79</v>
      </c>
      <c r="N23" s="3">
        <v>3341.59</v>
      </c>
      <c r="O23" s="3">
        <f>O22</f>
        <v>2134.5120000000002</v>
      </c>
      <c r="P23" s="3">
        <v>15908.7</v>
      </c>
      <c r="Q23" s="11">
        <f t="shared" si="6"/>
        <v>27971.313750000001</v>
      </c>
      <c r="R23" s="11">
        <f t="shared" si="5"/>
        <v>2385.8442500000056</v>
      </c>
    </row>
    <row r="24" spans="1:18">
      <c r="A24" s="3" t="s">
        <v>11</v>
      </c>
      <c r="B24" s="5">
        <v>19496.63</v>
      </c>
      <c r="C24" s="44">
        <f t="shared" si="3"/>
        <v>487.41575000000006</v>
      </c>
      <c r="D24" s="3">
        <v>2618.73</v>
      </c>
      <c r="E24" s="3">
        <v>889.38000000000011</v>
      </c>
      <c r="F24" s="3">
        <v>494.1</v>
      </c>
      <c r="G24" s="3"/>
      <c r="H24" s="3"/>
      <c r="I24" s="3">
        <v>395.28000000000003</v>
      </c>
      <c r="J24" s="3">
        <v>296.45999999999998</v>
      </c>
      <c r="K24" s="11">
        <v>108.7</v>
      </c>
      <c r="L24" s="11"/>
      <c r="M24" s="3">
        <v>938.79</v>
      </c>
      <c r="N24" s="3">
        <v>4021.23</v>
      </c>
      <c r="O24" s="3">
        <f>O23</f>
        <v>2134.5120000000002</v>
      </c>
      <c r="P24" s="3">
        <v>10884.9</v>
      </c>
      <c r="Q24" s="11">
        <f t="shared" si="6"/>
        <v>23269.497750000002</v>
      </c>
      <c r="R24" s="11">
        <f t="shared" si="5"/>
        <v>-1387.0234999999957</v>
      </c>
    </row>
    <row r="25" spans="1:18" s="45" customFormat="1">
      <c r="A25" s="6" t="s">
        <v>82</v>
      </c>
      <c r="B25" s="10">
        <f>SUM(B19:B24)</f>
        <v>161557.90000000002</v>
      </c>
      <c r="C25" s="10">
        <f t="shared" ref="C25:Q25" si="7">SUM(C19:C24)</f>
        <v>4038.9475000000002</v>
      </c>
      <c r="D25" s="10">
        <f t="shared" si="7"/>
        <v>15712.38</v>
      </c>
      <c r="E25" s="10">
        <f t="shared" si="7"/>
        <v>5336.2800000000007</v>
      </c>
      <c r="F25" s="10">
        <f t="shared" si="7"/>
        <v>2964.6</v>
      </c>
      <c r="G25" s="10">
        <f t="shared" si="7"/>
        <v>0</v>
      </c>
      <c r="H25" s="10">
        <f t="shared" si="7"/>
        <v>0</v>
      </c>
      <c r="I25" s="10">
        <f t="shared" si="7"/>
        <v>2371.6800000000003</v>
      </c>
      <c r="J25" s="10">
        <f t="shared" si="7"/>
        <v>1778.76</v>
      </c>
      <c r="K25" s="10">
        <f t="shared" si="7"/>
        <v>652.20200000000011</v>
      </c>
      <c r="L25" s="10">
        <f t="shared" si="7"/>
        <v>0</v>
      </c>
      <c r="M25" s="10">
        <f t="shared" si="7"/>
        <v>5632.74</v>
      </c>
      <c r="N25" s="10">
        <f t="shared" si="7"/>
        <v>71942.149999999994</v>
      </c>
      <c r="O25" s="10">
        <f t="shared" si="7"/>
        <v>11769.462000000001</v>
      </c>
      <c r="P25" s="10">
        <f t="shared" si="7"/>
        <v>83311.349999999991</v>
      </c>
      <c r="Q25" s="10">
        <f t="shared" si="7"/>
        <v>205510.5515</v>
      </c>
      <c r="R25" s="48"/>
    </row>
    <row r="26" spans="1:18">
      <c r="A26" s="20" t="s">
        <v>51</v>
      </c>
      <c r="B26" s="6">
        <f>B17+B25</f>
        <v>311422.30000000005</v>
      </c>
      <c r="C26" s="6">
        <f t="shared" ref="C26:Q26" si="8">C17+C25</f>
        <v>4038.9475000000002</v>
      </c>
      <c r="D26" s="6">
        <f t="shared" si="8"/>
        <v>33203.520000000004</v>
      </c>
      <c r="E26" s="6">
        <f t="shared" si="8"/>
        <v>11858.400000000001</v>
      </c>
      <c r="F26" s="6">
        <f t="shared" si="8"/>
        <v>5929.2</v>
      </c>
      <c r="G26" s="6">
        <f t="shared" si="8"/>
        <v>5679.98</v>
      </c>
      <c r="H26" s="6">
        <f t="shared" si="8"/>
        <v>2520</v>
      </c>
      <c r="I26" s="6">
        <f t="shared" si="8"/>
        <v>5336.2800000000007</v>
      </c>
      <c r="J26" s="6">
        <f t="shared" si="8"/>
        <v>3557.52</v>
      </c>
      <c r="K26" s="6">
        <f t="shared" si="8"/>
        <v>652.20200000000011</v>
      </c>
      <c r="L26" s="6">
        <f t="shared" si="8"/>
        <v>3160</v>
      </c>
      <c r="M26" s="6">
        <f t="shared" si="8"/>
        <v>8300.880000000001</v>
      </c>
      <c r="N26" s="6">
        <f t="shared" si="8"/>
        <v>95338.98</v>
      </c>
      <c r="O26" s="6">
        <f t="shared" si="8"/>
        <v>21611.934000000001</v>
      </c>
      <c r="P26" s="6">
        <f t="shared" si="8"/>
        <v>165366.75</v>
      </c>
      <c r="Q26" s="6">
        <f t="shared" si="8"/>
        <v>366554.59350000002</v>
      </c>
      <c r="R26" s="3">
        <f>D6+B26-Q26</f>
        <v>-1387.023499999952</v>
      </c>
    </row>
    <row r="29" spans="1:18">
      <c r="A29" s="17" t="s">
        <v>74</v>
      </c>
      <c r="B29" s="63">
        <v>3000</v>
      </c>
      <c r="C29" s="27"/>
    </row>
    <row r="30" spans="1:18">
      <c r="A30" s="15" t="s">
        <v>78</v>
      </c>
      <c r="B30" s="3"/>
      <c r="C30" s="57">
        <v>56300</v>
      </c>
    </row>
  </sheetData>
  <mergeCells count="21">
    <mergeCell ref="D8:P8"/>
    <mergeCell ref="K6:N6"/>
    <mergeCell ref="O6:P6"/>
    <mergeCell ref="K7:N7"/>
    <mergeCell ref="O7:P7"/>
    <mergeCell ref="Q8:Q9"/>
    <mergeCell ref="R8:R9"/>
    <mergeCell ref="A1:R1"/>
    <mergeCell ref="A3:B3"/>
    <mergeCell ref="D3:E3"/>
    <mergeCell ref="F3:G3"/>
    <mergeCell ref="A4:B4"/>
    <mergeCell ref="K3:P3"/>
    <mergeCell ref="A5:B5"/>
    <mergeCell ref="K4:N4"/>
    <mergeCell ref="O4:P4"/>
    <mergeCell ref="K5:N5"/>
    <mergeCell ref="O5:P5"/>
    <mergeCell ref="A6:B6"/>
    <mergeCell ref="A8:A9"/>
    <mergeCell ref="B8:B9"/>
  </mergeCells>
  <pageMargins left="0.25" right="0.25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T31"/>
  <sheetViews>
    <sheetView topLeftCell="A10" workbookViewId="0">
      <selection activeCell="C26" sqref="C26:P26"/>
    </sheetView>
  </sheetViews>
  <sheetFormatPr defaultRowHeight="15"/>
  <cols>
    <col min="1" max="1" width="12.85546875" customWidth="1"/>
    <col min="2" max="2" width="10.85546875" customWidth="1"/>
    <col min="3" max="4" width="9.570312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8" customWidth="1"/>
    <col min="16" max="16" width="8.7109375" customWidth="1"/>
    <col min="17" max="17" width="9.85546875" customWidth="1"/>
    <col min="18" max="18" width="10.71093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42</v>
      </c>
      <c r="N3" s="96"/>
      <c r="O3" s="96"/>
      <c r="P3" s="96"/>
      <c r="Q3" s="96"/>
      <c r="R3" s="96"/>
    </row>
    <row r="4" spans="1:20" ht="15.75" thickBot="1">
      <c r="A4" s="94" t="s">
        <v>14</v>
      </c>
      <c r="B4" s="95"/>
      <c r="C4" s="31"/>
      <c r="D4" s="1">
        <v>569.9</v>
      </c>
      <c r="E4" s="8" t="s">
        <v>27</v>
      </c>
      <c r="M4" s="97" t="s">
        <v>61</v>
      </c>
      <c r="N4" s="97"/>
      <c r="O4" s="97"/>
      <c r="P4" s="97"/>
      <c r="Q4" s="123">
        <v>26297.279999999999</v>
      </c>
      <c r="R4" s="123"/>
    </row>
    <row r="5" spans="1:20" ht="15.75" thickBot="1">
      <c r="A5" s="94" t="s">
        <v>13</v>
      </c>
      <c r="B5" s="95"/>
      <c r="C5" s="31"/>
      <c r="D5" s="1">
        <v>2</v>
      </c>
      <c r="M5" s="97" t="s">
        <v>84</v>
      </c>
      <c r="N5" s="97"/>
      <c r="O5" s="97"/>
      <c r="P5" s="97"/>
      <c r="Q5" s="123">
        <v>25183.15</v>
      </c>
      <c r="R5" s="123"/>
    </row>
    <row r="6" spans="1:20" ht="15.75" thickBot="1">
      <c r="A6" s="94" t="s">
        <v>15</v>
      </c>
      <c r="B6" s="95"/>
      <c r="C6" s="31"/>
      <c r="D6" s="1">
        <v>-96723.35</v>
      </c>
      <c r="M6" s="97" t="s">
        <v>62</v>
      </c>
      <c r="N6" s="97"/>
      <c r="O6" s="97"/>
      <c r="P6" s="97"/>
      <c r="Q6" s="123"/>
      <c r="R6" s="123"/>
    </row>
    <row r="7" spans="1:20">
      <c r="M7" s="102" t="s">
        <v>64</v>
      </c>
      <c r="N7" s="102"/>
      <c r="O7" s="97"/>
      <c r="P7" s="97"/>
      <c r="Q7" s="106">
        <f>SUM(Q4:R6)</f>
        <v>51480.43</v>
      </c>
      <c r="R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9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20651.939999999999</v>
      </c>
      <c r="C11" s="44"/>
      <c r="D11" s="11">
        <f>D10*569.9</f>
        <v>1681.2049999999999</v>
      </c>
      <c r="E11" s="3">
        <f t="shared" ref="E11:M11" si="0">E10*569.9</f>
        <v>626.89</v>
      </c>
      <c r="F11" s="3">
        <f t="shared" si="0"/>
        <v>284.95</v>
      </c>
      <c r="G11" s="3"/>
      <c r="H11" s="3"/>
      <c r="I11" s="3">
        <f t="shared" si="0"/>
        <v>284.95</v>
      </c>
      <c r="J11" s="3">
        <f t="shared" si="0"/>
        <v>170.97</v>
      </c>
      <c r="K11" s="3"/>
      <c r="L11" s="3"/>
      <c r="M11" s="11">
        <f t="shared" si="0"/>
        <v>256.45499999999998</v>
      </c>
      <c r="N11" s="3">
        <v>2943.17</v>
      </c>
      <c r="O11" s="3">
        <f>O10*569.9</f>
        <v>946.03399999999988</v>
      </c>
      <c r="P11" s="3">
        <v>15710.61</v>
      </c>
      <c r="Q11" s="3">
        <f t="shared" ref="Q11:Q16" si="1">SUM(D11:P11)</f>
        <v>22905.234</v>
      </c>
      <c r="R11" s="3">
        <f>D6+B11-Q11</f>
        <v>-98976.644</v>
      </c>
    </row>
    <row r="12" spans="1:20">
      <c r="A12" s="3" t="s">
        <v>1</v>
      </c>
      <c r="B12" s="5">
        <v>60661.38</v>
      </c>
      <c r="C12" s="44"/>
      <c r="D12" s="11">
        <v>1681.2049999999999</v>
      </c>
      <c r="E12" s="3">
        <v>626.89</v>
      </c>
      <c r="F12" s="3">
        <v>284.95</v>
      </c>
      <c r="G12" s="3"/>
      <c r="H12" s="3"/>
      <c r="I12" s="3">
        <v>284.95</v>
      </c>
      <c r="J12" s="3">
        <v>170.97</v>
      </c>
      <c r="K12" s="3"/>
      <c r="L12" s="3"/>
      <c r="M12" s="11">
        <v>256.45499999999998</v>
      </c>
      <c r="N12" s="3">
        <v>1842.99</v>
      </c>
      <c r="O12" s="3">
        <v>946</v>
      </c>
      <c r="P12" s="3">
        <v>12680.26</v>
      </c>
      <c r="Q12" s="3">
        <f t="shared" si="1"/>
        <v>18774.669999999998</v>
      </c>
      <c r="R12" s="3">
        <f>R11+B12-Q12</f>
        <v>-57089.934000000001</v>
      </c>
    </row>
    <row r="13" spans="1:20">
      <c r="A13" s="3" t="s">
        <v>2</v>
      </c>
      <c r="B13" s="5">
        <v>25557.8</v>
      </c>
      <c r="C13" s="44"/>
      <c r="D13" s="11">
        <v>1681.2049999999999</v>
      </c>
      <c r="E13" s="3">
        <v>626.89</v>
      </c>
      <c r="F13" s="3">
        <v>284.95</v>
      </c>
      <c r="G13" s="3">
        <v>3183.99</v>
      </c>
      <c r="H13" s="3"/>
      <c r="I13" s="3">
        <v>284.95</v>
      </c>
      <c r="J13" s="3">
        <v>170.97</v>
      </c>
      <c r="K13" s="3"/>
      <c r="L13" s="3"/>
      <c r="M13" s="11">
        <v>256.45499999999998</v>
      </c>
      <c r="N13" s="3">
        <v>2792.13</v>
      </c>
      <c r="O13" s="3">
        <v>946</v>
      </c>
      <c r="P13" s="3">
        <v>9057.4500000000007</v>
      </c>
      <c r="Q13" s="3">
        <f t="shared" si="1"/>
        <v>19284.990000000002</v>
      </c>
      <c r="R13" s="3">
        <f>R12+B13-Q13</f>
        <v>-50817.124000000003</v>
      </c>
    </row>
    <row r="14" spans="1:20">
      <c r="A14" s="3" t="s">
        <v>3</v>
      </c>
      <c r="B14" s="5">
        <v>21381.8</v>
      </c>
      <c r="C14" s="44"/>
      <c r="D14" s="11">
        <v>1681.2049999999999</v>
      </c>
      <c r="E14" s="3">
        <v>626.89</v>
      </c>
      <c r="F14" s="3">
        <v>284.95</v>
      </c>
      <c r="G14" s="3"/>
      <c r="H14" s="3">
        <v>1940</v>
      </c>
      <c r="I14" s="3">
        <v>284.95</v>
      </c>
      <c r="J14" s="3">
        <v>170.97</v>
      </c>
      <c r="K14" s="3"/>
      <c r="L14" s="3"/>
      <c r="M14" s="11">
        <v>256.45499999999998</v>
      </c>
      <c r="N14" s="3">
        <v>632.49</v>
      </c>
      <c r="O14" s="3">
        <v>946</v>
      </c>
      <c r="P14" s="3">
        <v>9443.7070000000003</v>
      </c>
      <c r="Q14" s="3">
        <f t="shared" si="1"/>
        <v>16267.617</v>
      </c>
      <c r="R14" s="3">
        <f>R13+B14-Q14</f>
        <v>-45702.941000000006</v>
      </c>
    </row>
    <row r="15" spans="1:20">
      <c r="A15" s="3" t="s">
        <v>4</v>
      </c>
      <c r="B15" s="5">
        <v>24988.63</v>
      </c>
      <c r="C15" s="44"/>
      <c r="D15" s="11">
        <v>1681.2049999999999</v>
      </c>
      <c r="E15" s="3">
        <v>626.89</v>
      </c>
      <c r="F15" s="3">
        <v>284.95</v>
      </c>
      <c r="G15" s="3">
        <v>343</v>
      </c>
      <c r="H15" s="3"/>
      <c r="I15" s="3">
        <v>284.95</v>
      </c>
      <c r="J15" s="3">
        <v>170.97</v>
      </c>
      <c r="K15" s="3"/>
      <c r="L15" s="3"/>
      <c r="M15" s="11">
        <v>256.45499999999998</v>
      </c>
      <c r="N15" s="3">
        <v>15080.61</v>
      </c>
      <c r="O15" s="3">
        <v>946</v>
      </c>
      <c r="P15" s="3">
        <v>16629.707999999999</v>
      </c>
      <c r="Q15" s="3">
        <f t="shared" si="1"/>
        <v>36304.737999999998</v>
      </c>
      <c r="R15" s="3">
        <f>R14+B15-Q15</f>
        <v>-57019.048999999999</v>
      </c>
    </row>
    <row r="16" spans="1:20">
      <c r="A16" s="3" t="s">
        <v>5</v>
      </c>
      <c r="B16" s="5">
        <v>12954.34</v>
      </c>
      <c r="C16" s="44"/>
      <c r="D16" s="11">
        <v>1681.2049999999999</v>
      </c>
      <c r="E16" s="3">
        <v>626.89</v>
      </c>
      <c r="F16" s="3">
        <v>284.95</v>
      </c>
      <c r="G16" s="3"/>
      <c r="H16" s="3"/>
      <c r="I16" s="3">
        <v>284.95</v>
      </c>
      <c r="J16" s="3">
        <v>170.97</v>
      </c>
      <c r="K16" s="3"/>
      <c r="L16" s="3"/>
      <c r="M16" s="11">
        <v>256.45499999999998</v>
      </c>
      <c r="N16" s="3">
        <v>6696.27</v>
      </c>
      <c r="O16" s="3">
        <v>946</v>
      </c>
      <c r="P16" s="3">
        <v>15117.916999999999</v>
      </c>
      <c r="Q16" s="3">
        <f t="shared" si="1"/>
        <v>26065.606999999996</v>
      </c>
      <c r="R16" s="3">
        <f>R15+B16-Q16</f>
        <v>-70130.315999999992</v>
      </c>
    </row>
    <row r="17" spans="1:18" s="45" customFormat="1">
      <c r="A17" s="6" t="s">
        <v>81</v>
      </c>
      <c r="B17" s="10">
        <f>SUM(B11:B16)</f>
        <v>166195.88999999998</v>
      </c>
      <c r="C17" s="10">
        <f t="shared" ref="C17:Q17" si="2">SUM(C11:C16)</f>
        <v>0</v>
      </c>
      <c r="D17" s="49">
        <f t="shared" si="2"/>
        <v>10087.23</v>
      </c>
      <c r="E17" s="10">
        <f t="shared" si="2"/>
        <v>3761.3399999999997</v>
      </c>
      <c r="F17" s="10">
        <f t="shared" si="2"/>
        <v>1709.7</v>
      </c>
      <c r="G17" s="10">
        <f t="shared" si="2"/>
        <v>3526.99</v>
      </c>
      <c r="H17" s="10">
        <f t="shared" si="2"/>
        <v>1940</v>
      </c>
      <c r="I17" s="10">
        <f t="shared" si="2"/>
        <v>1709.7</v>
      </c>
      <c r="J17" s="10">
        <f t="shared" si="2"/>
        <v>1025.82</v>
      </c>
      <c r="K17" s="10">
        <f t="shared" si="2"/>
        <v>0</v>
      </c>
      <c r="L17" s="10"/>
      <c r="M17" s="10">
        <f t="shared" si="2"/>
        <v>1538.7299999999998</v>
      </c>
      <c r="N17" s="10">
        <f t="shared" si="2"/>
        <v>29987.66</v>
      </c>
      <c r="O17" s="10">
        <f t="shared" si="2"/>
        <v>5676.0339999999997</v>
      </c>
      <c r="P17" s="10">
        <f t="shared" si="2"/>
        <v>78639.652000000002</v>
      </c>
      <c r="Q17" s="10">
        <f t="shared" si="2"/>
        <v>139602.856</v>
      </c>
      <c r="R17" s="6"/>
    </row>
    <row r="18" spans="1:18" s="43" customFormat="1">
      <c r="A18" s="41">
        <v>42.2</v>
      </c>
      <c r="B18" s="41"/>
      <c r="C18" s="42">
        <v>0.6</v>
      </c>
      <c r="D18" s="42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0.4</v>
      </c>
      <c r="M18" s="42">
        <v>0.95</v>
      </c>
      <c r="N18" s="55" t="s">
        <v>92</v>
      </c>
      <c r="O18" s="41">
        <v>1.81</v>
      </c>
      <c r="P18" s="41">
        <v>25.63</v>
      </c>
      <c r="Q18" s="41"/>
      <c r="R18" s="3">
        <f>R16+B18-Q18</f>
        <v>-70130.315999999992</v>
      </c>
    </row>
    <row r="19" spans="1:18">
      <c r="A19" s="3" t="s">
        <v>6</v>
      </c>
      <c r="B19" s="5">
        <v>14008.52</v>
      </c>
      <c r="C19" s="44">
        <f t="shared" ref="C19:C24" si="3">B19*2.5/100</f>
        <v>350.21300000000002</v>
      </c>
      <c r="D19" s="11">
        <f>D18*569.9</f>
        <v>1510.2349999999999</v>
      </c>
      <c r="E19" s="11">
        <f t="shared" ref="E19:O19" si="4">E18*569.9</f>
        <v>512.91</v>
      </c>
      <c r="F19" s="11">
        <f t="shared" si="4"/>
        <v>284.95</v>
      </c>
      <c r="G19" s="11"/>
      <c r="H19" s="11"/>
      <c r="I19" s="11">
        <f t="shared" si="4"/>
        <v>227.96</v>
      </c>
      <c r="J19" s="11">
        <f t="shared" si="4"/>
        <v>170.97</v>
      </c>
      <c r="K19" s="11">
        <f t="shared" si="4"/>
        <v>62.689</v>
      </c>
      <c r="L19" s="11"/>
      <c r="M19" s="11">
        <f t="shared" si="4"/>
        <v>541.40499999999997</v>
      </c>
      <c r="N19" s="78">
        <v>2128.65</v>
      </c>
      <c r="O19" s="11">
        <f t="shared" si="4"/>
        <v>1031.519</v>
      </c>
      <c r="P19" s="3">
        <v>17237.009999999998</v>
      </c>
      <c r="Q19" s="11">
        <f>SUM(C19:P19)</f>
        <v>24058.510999999999</v>
      </c>
      <c r="R19" s="3">
        <f t="shared" ref="R19:R24" si="5">R18+B19-Q19</f>
        <v>-80180.306999999986</v>
      </c>
    </row>
    <row r="20" spans="1:18">
      <c r="A20" s="3" t="s">
        <v>7</v>
      </c>
      <c r="B20" s="5">
        <v>16364.4</v>
      </c>
      <c r="C20" s="44">
        <f t="shared" si="3"/>
        <v>409.11</v>
      </c>
      <c r="D20" s="11">
        <v>1510.2349999999999</v>
      </c>
      <c r="E20" s="3">
        <v>512.91</v>
      </c>
      <c r="F20" s="3">
        <v>284.95</v>
      </c>
      <c r="G20" s="3"/>
      <c r="H20" s="3"/>
      <c r="I20" s="3">
        <v>227.96</v>
      </c>
      <c r="J20" s="3">
        <v>170.97</v>
      </c>
      <c r="K20" s="3">
        <v>62.69</v>
      </c>
      <c r="L20" s="3"/>
      <c r="M20" s="11">
        <v>541.40499999999997</v>
      </c>
      <c r="N20" s="74">
        <v>4874.55</v>
      </c>
      <c r="O20" s="3">
        <v>1031.52</v>
      </c>
      <c r="P20" s="3">
        <v>15102.22</v>
      </c>
      <c r="Q20" s="11">
        <f t="shared" ref="Q20:Q24" si="6">SUM(C20:P20)</f>
        <v>24728.519999999997</v>
      </c>
      <c r="R20" s="3">
        <f t="shared" si="5"/>
        <v>-88544.426999999981</v>
      </c>
    </row>
    <row r="21" spans="1:18">
      <c r="A21" s="3" t="s">
        <v>8</v>
      </c>
      <c r="B21" s="5">
        <v>16218.86</v>
      </c>
      <c r="C21" s="44">
        <f t="shared" si="3"/>
        <v>405.47149999999999</v>
      </c>
      <c r="D21" s="11">
        <v>1510.2349999999999</v>
      </c>
      <c r="E21" s="3">
        <v>512.91</v>
      </c>
      <c r="F21" s="3">
        <v>284.95</v>
      </c>
      <c r="G21" s="3"/>
      <c r="H21" s="3"/>
      <c r="I21" s="3">
        <v>227.96</v>
      </c>
      <c r="J21" s="3">
        <v>170.97</v>
      </c>
      <c r="K21" s="3">
        <v>62.69</v>
      </c>
      <c r="L21" s="3"/>
      <c r="M21" s="11">
        <v>541.40499999999997</v>
      </c>
      <c r="N21" s="3">
        <v>430.71</v>
      </c>
      <c r="O21" s="3">
        <v>1031.52</v>
      </c>
      <c r="P21" s="3">
        <v>14602.22</v>
      </c>
      <c r="Q21" s="11">
        <f t="shared" si="6"/>
        <v>19781.041499999999</v>
      </c>
      <c r="R21" s="3">
        <f t="shared" si="5"/>
        <v>-92106.608499999973</v>
      </c>
    </row>
    <row r="22" spans="1:18">
      <c r="A22" s="3" t="s">
        <v>9</v>
      </c>
      <c r="B22" s="5">
        <v>12756.25</v>
      </c>
      <c r="C22" s="44">
        <f t="shared" si="3"/>
        <v>318.90625</v>
      </c>
      <c r="D22" s="11">
        <v>1510.2349999999999</v>
      </c>
      <c r="E22" s="3">
        <v>512.91</v>
      </c>
      <c r="F22" s="3">
        <v>284.95</v>
      </c>
      <c r="G22" s="3"/>
      <c r="H22" s="3"/>
      <c r="I22" s="3">
        <v>227.96</v>
      </c>
      <c r="J22" s="3">
        <v>170.97</v>
      </c>
      <c r="K22" s="3">
        <v>62.69</v>
      </c>
      <c r="L22" s="3"/>
      <c r="M22" s="11">
        <v>541.40499999999997</v>
      </c>
      <c r="N22" s="3">
        <v>2744.11</v>
      </c>
      <c r="O22" s="3">
        <f>D4*2.16</f>
        <v>1230.9839999999999</v>
      </c>
      <c r="P22" s="3">
        <v>14492.43</v>
      </c>
      <c r="Q22" s="11">
        <f t="shared" si="6"/>
        <v>22097.55025</v>
      </c>
      <c r="R22" s="3">
        <f t="shared" si="5"/>
        <v>-101447.90874999997</v>
      </c>
    </row>
    <row r="23" spans="1:18">
      <c r="A23" s="3" t="s">
        <v>10</v>
      </c>
      <c r="B23" s="5">
        <v>19236.82</v>
      </c>
      <c r="C23" s="44">
        <f t="shared" si="3"/>
        <v>480.9205</v>
      </c>
      <c r="D23" s="11">
        <v>1510.2349999999999</v>
      </c>
      <c r="E23" s="3">
        <v>512.91</v>
      </c>
      <c r="F23" s="3">
        <v>284.95</v>
      </c>
      <c r="G23" s="3"/>
      <c r="H23" s="3"/>
      <c r="I23" s="3">
        <v>227.96</v>
      </c>
      <c r="J23" s="3">
        <v>170.97</v>
      </c>
      <c r="K23" s="3">
        <v>62.69</v>
      </c>
      <c r="L23" s="3"/>
      <c r="M23" s="11">
        <v>541.40499999999997</v>
      </c>
      <c r="N23" s="3">
        <v>304.58</v>
      </c>
      <c r="O23" s="3">
        <f>O22</f>
        <v>1230.9839999999999</v>
      </c>
      <c r="P23" s="3">
        <v>16593.5</v>
      </c>
      <c r="Q23" s="11">
        <f t="shared" si="6"/>
        <v>21921.104500000001</v>
      </c>
      <c r="R23" s="3">
        <f t="shared" si="5"/>
        <v>-104132.19324999997</v>
      </c>
    </row>
    <row r="24" spans="1:18">
      <c r="A24" s="3" t="s">
        <v>11</v>
      </c>
      <c r="B24" s="5">
        <v>12485.82</v>
      </c>
      <c r="C24" s="44">
        <f t="shared" si="3"/>
        <v>312.14549999999997</v>
      </c>
      <c r="D24" s="11">
        <v>1510.2349999999999</v>
      </c>
      <c r="E24" s="3">
        <v>512.91</v>
      </c>
      <c r="F24" s="3">
        <v>284.95</v>
      </c>
      <c r="G24" s="3"/>
      <c r="H24" s="3"/>
      <c r="I24" s="3">
        <v>227.96</v>
      </c>
      <c r="J24" s="3">
        <v>170.97</v>
      </c>
      <c r="K24" s="3">
        <v>62.69</v>
      </c>
      <c r="L24" s="3"/>
      <c r="M24" s="11">
        <v>541.40499999999997</v>
      </c>
      <c r="N24" s="3">
        <v>247.33</v>
      </c>
      <c r="O24" s="3">
        <f>O23</f>
        <v>1230.9839999999999</v>
      </c>
      <c r="P24" s="3">
        <v>16352.47</v>
      </c>
      <c r="Q24" s="11">
        <f t="shared" si="6"/>
        <v>21454.049500000001</v>
      </c>
      <c r="R24" s="3">
        <f t="shared" si="5"/>
        <v>-113100.42274999997</v>
      </c>
    </row>
    <row r="25" spans="1:18" s="45" customFormat="1">
      <c r="A25" s="6" t="s">
        <v>82</v>
      </c>
      <c r="B25" s="10">
        <f>SUM(B19:B24)</f>
        <v>91070.670000000013</v>
      </c>
      <c r="C25" s="10">
        <f t="shared" ref="C25:Q25" si="7">SUM(C19:C24)</f>
        <v>2276.7667499999998</v>
      </c>
      <c r="D25" s="10">
        <f t="shared" si="7"/>
        <v>9061.41</v>
      </c>
      <c r="E25" s="10">
        <f t="shared" si="7"/>
        <v>3077.4599999999996</v>
      </c>
      <c r="F25" s="10">
        <f t="shared" si="7"/>
        <v>1709.7</v>
      </c>
      <c r="G25" s="10">
        <f t="shared" si="7"/>
        <v>0</v>
      </c>
      <c r="H25" s="10">
        <f t="shared" si="7"/>
        <v>0</v>
      </c>
      <c r="I25" s="10">
        <f t="shared" si="7"/>
        <v>1367.76</v>
      </c>
      <c r="J25" s="10">
        <f t="shared" si="7"/>
        <v>1025.82</v>
      </c>
      <c r="K25" s="10">
        <f t="shared" si="7"/>
        <v>376.13899999999995</v>
      </c>
      <c r="L25" s="10">
        <f t="shared" si="7"/>
        <v>0</v>
      </c>
      <c r="M25" s="10">
        <f t="shared" si="7"/>
        <v>3248.4299999999994</v>
      </c>
      <c r="N25" s="10">
        <f t="shared" si="7"/>
        <v>10729.93</v>
      </c>
      <c r="O25" s="10">
        <f t="shared" si="7"/>
        <v>6787.5110000000004</v>
      </c>
      <c r="P25" s="10">
        <f t="shared" si="7"/>
        <v>94379.85</v>
      </c>
      <c r="Q25" s="10">
        <f t="shared" si="7"/>
        <v>134040.77674999999</v>
      </c>
      <c r="R25" s="6"/>
    </row>
    <row r="26" spans="1:18" s="47" customFormat="1">
      <c r="A26" s="46" t="s">
        <v>55</v>
      </c>
      <c r="B26" s="46">
        <f>B17+B25</f>
        <v>257266.56</v>
      </c>
      <c r="C26" s="46">
        <f t="shared" ref="C26:Q26" si="8">C17+C25</f>
        <v>2276.7667499999998</v>
      </c>
      <c r="D26" s="46">
        <f t="shared" si="8"/>
        <v>19148.64</v>
      </c>
      <c r="E26" s="46">
        <f t="shared" si="8"/>
        <v>6838.7999999999993</v>
      </c>
      <c r="F26" s="46">
        <f t="shared" si="8"/>
        <v>3419.4</v>
      </c>
      <c r="G26" s="46">
        <f t="shared" si="8"/>
        <v>3526.99</v>
      </c>
      <c r="H26" s="46">
        <f t="shared" si="8"/>
        <v>1940</v>
      </c>
      <c r="I26" s="46">
        <f t="shared" si="8"/>
        <v>3077.46</v>
      </c>
      <c r="J26" s="46">
        <f t="shared" si="8"/>
        <v>2051.64</v>
      </c>
      <c r="K26" s="46">
        <f t="shared" si="8"/>
        <v>376.13899999999995</v>
      </c>
      <c r="L26" s="46">
        <f t="shared" si="8"/>
        <v>0</v>
      </c>
      <c r="M26" s="46">
        <f t="shared" si="8"/>
        <v>4787.1599999999989</v>
      </c>
      <c r="N26" s="46">
        <f t="shared" si="8"/>
        <v>40717.589999999997</v>
      </c>
      <c r="O26" s="46">
        <f t="shared" si="8"/>
        <v>12463.545</v>
      </c>
      <c r="P26" s="46">
        <f t="shared" si="8"/>
        <v>173019.50200000001</v>
      </c>
      <c r="Q26" s="46">
        <f t="shared" si="8"/>
        <v>273643.63274999999</v>
      </c>
      <c r="R26" s="46">
        <f>D6+B26-Q26</f>
        <v>-113100.42275</v>
      </c>
    </row>
    <row r="31" spans="1:18">
      <c r="A31" s="118"/>
      <c r="B31" s="118"/>
      <c r="C31" s="118"/>
      <c r="D31" s="118"/>
      <c r="E31" s="27"/>
    </row>
  </sheetData>
  <mergeCells count="22">
    <mergeCell ref="Q6:R6"/>
    <mergeCell ref="A31:D31"/>
    <mergeCell ref="A6:B6"/>
    <mergeCell ref="A8:A9"/>
    <mergeCell ref="B8:B9"/>
    <mergeCell ref="D8:P8"/>
    <mergeCell ref="Q7:R7"/>
    <mergeCell ref="Q8:Q9"/>
    <mergeCell ref="R8:R9"/>
    <mergeCell ref="M6:P6"/>
    <mergeCell ref="M7:P7"/>
    <mergeCell ref="A1:R1"/>
    <mergeCell ref="A3:B3"/>
    <mergeCell ref="D3:E3"/>
    <mergeCell ref="F3:G3"/>
    <mergeCell ref="A4:B4"/>
    <mergeCell ref="A5:B5"/>
    <mergeCell ref="N3:R3"/>
    <mergeCell ref="Q4:R4"/>
    <mergeCell ref="Q5:R5"/>
    <mergeCell ref="M4:P4"/>
    <mergeCell ref="M5:P5"/>
  </mergeCells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T33"/>
  <sheetViews>
    <sheetView workbookViewId="0">
      <selection activeCell="C26" sqref="C26:P26"/>
    </sheetView>
  </sheetViews>
  <sheetFormatPr defaultRowHeight="15"/>
  <cols>
    <col min="1" max="1" width="12.7109375" customWidth="1"/>
    <col min="2" max="2" width="10.28515625" customWidth="1"/>
    <col min="3" max="3" width="9.7109375" customWidth="1"/>
    <col min="4" max="4" width="9.570312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6.42578125" customWidth="1"/>
    <col min="16" max="16" width="7.5703125" customWidth="1"/>
    <col min="17" max="17" width="8.85546875" customWidth="1"/>
    <col min="18" max="18" width="10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43</v>
      </c>
      <c r="N3" s="96"/>
      <c r="O3" s="96"/>
      <c r="P3" s="96"/>
      <c r="Q3" s="96"/>
    </row>
    <row r="4" spans="1:20" ht="15.75" thickBot="1">
      <c r="A4" s="94" t="s">
        <v>14</v>
      </c>
      <c r="B4" s="95"/>
      <c r="C4" s="31"/>
      <c r="D4" s="1">
        <v>572.6</v>
      </c>
      <c r="E4" s="8" t="s">
        <v>27</v>
      </c>
      <c r="L4" s="97" t="s">
        <v>61</v>
      </c>
      <c r="M4" s="97"/>
      <c r="N4" s="97"/>
      <c r="O4" s="97"/>
      <c r="P4" s="123">
        <v>18489.82</v>
      </c>
      <c r="Q4" s="123"/>
    </row>
    <row r="5" spans="1:20" ht="15.75" thickBot="1">
      <c r="A5" s="94" t="s">
        <v>13</v>
      </c>
      <c r="B5" s="95"/>
      <c r="C5" s="31"/>
      <c r="D5" s="1">
        <v>2</v>
      </c>
      <c r="L5" s="97" t="s">
        <v>84</v>
      </c>
      <c r="M5" s="97"/>
      <c r="N5" s="97"/>
      <c r="O5" s="97"/>
      <c r="P5" s="123">
        <v>25921.24</v>
      </c>
      <c r="Q5" s="123"/>
    </row>
    <row r="6" spans="1:20" ht="15.75" thickBot="1">
      <c r="A6" s="94" t="s">
        <v>15</v>
      </c>
      <c r="B6" s="95"/>
      <c r="C6" s="31"/>
      <c r="D6" s="1">
        <v>-24913.09</v>
      </c>
      <c r="L6" s="97" t="s">
        <v>62</v>
      </c>
      <c r="M6" s="97"/>
      <c r="N6" s="97"/>
      <c r="O6" s="97"/>
      <c r="P6" s="123"/>
      <c r="Q6" s="123"/>
    </row>
    <row r="7" spans="1:20">
      <c r="L7" s="102" t="s">
        <v>64</v>
      </c>
      <c r="M7" s="102"/>
      <c r="N7" s="97"/>
      <c r="O7" s="97"/>
      <c r="P7" s="106">
        <f>SUM(P4:Q6)</f>
        <v>44411.06</v>
      </c>
      <c r="Q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9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12387.02</v>
      </c>
      <c r="C11" s="44"/>
      <c r="D11" s="3">
        <f>D10*572.6</f>
        <v>1689.17</v>
      </c>
      <c r="E11" s="3">
        <f t="shared" ref="E11:O11" si="0">E10*572.6</f>
        <v>629.86000000000013</v>
      </c>
      <c r="F11" s="3">
        <f t="shared" si="0"/>
        <v>286.3</v>
      </c>
      <c r="G11" s="3"/>
      <c r="H11" s="3"/>
      <c r="I11" s="3">
        <f t="shared" si="0"/>
        <v>286.3</v>
      </c>
      <c r="J11" s="3">
        <f t="shared" si="0"/>
        <v>171.78</v>
      </c>
      <c r="K11" s="3"/>
      <c r="L11" s="3">
        <v>160</v>
      </c>
      <c r="M11" s="3">
        <f t="shared" si="0"/>
        <v>257.67</v>
      </c>
      <c r="N11" s="3">
        <v>2496.94</v>
      </c>
      <c r="O11" s="3">
        <f t="shared" si="0"/>
        <v>950.51599999999996</v>
      </c>
      <c r="P11" s="3">
        <v>4803.24</v>
      </c>
      <c r="Q11" s="3">
        <f t="shared" ref="Q11:Q16" si="1">SUM(D11:P11)</f>
        <v>11731.776</v>
      </c>
      <c r="R11" s="3">
        <f>D6+B11-Q11</f>
        <v>-24257.845999999998</v>
      </c>
    </row>
    <row r="12" spans="1:20">
      <c r="A12" s="3" t="s">
        <v>1</v>
      </c>
      <c r="B12" s="5">
        <v>12592.42</v>
      </c>
      <c r="C12" s="44"/>
      <c r="D12" s="3">
        <v>1689.17</v>
      </c>
      <c r="E12" s="3">
        <v>629.86000000000013</v>
      </c>
      <c r="F12" s="3">
        <v>286.3</v>
      </c>
      <c r="G12" s="3"/>
      <c r="H12" s="3"/>
      <c r="I12" s="3">
        <v>286.3</v>
      </c>
      <c r="J12" s="3">
        <v>171.78</v>
      </c>
      <c r="K12" s="3"/>
      <c r="L12" s="3">
        <v>225</v>
      </c>
      <c r="M12" s="3">
        <v>257.67</v>
      </c>
      <c r="N12" s="3">
        <v>2334.13</v>
      </c>
      <c r="O12" s="3">
        <v>950.51599999999996</v>
      </c>
      <c r="P12" s="3">
        <v>4903.04</v>
      </c>
      <c r="Q12" s="3">
        <f t="shared" si="1"/>
        <v>11733.766</v>
      </c>
      <c r="R12" s="3">
        <f>R11+B12-Q12</f>
        <v>-23399.191999999995</v>
      </c>
    </row>
    <row r="13" spans="1:20">
      <c r="A13" s="3" t="s">
        <v>2</v>
      </c>
      <c r="B13" s="5">
        <v>12779.81</v>
      </c>
      <c r="C13" s="44"/>
      <c r="D13" s="3">
        <v>1689.17</v>
      </c>
      <c r="E13" s="3">
        <v>629.86000000000013</v>
      </c>
      <c r="F13" s="3">
        <v>286.3</v>
      </c>
      <c r="G13" s="3">
        <v>2707</v>
      </c>
      <c r="H13" s="3"/>
      <c r="I13" s="3">
        <v>286.3</v>
      </c>
      <c r="J13" s="3">
        <v>171.78</v>
      </c>
      <c r="K13" s="3"/>
      <c r="L13" s="3">
        <v>425</v>
      </c>
      <c r="M13" s="3">
        <v>257.67</v>
      </c>
      <c r="N13" s="3">
        <v>10133.43</v>
      </c>
      <c r="O13" s="3">
        <v>950.51599999999996</v>
      </c>
      <c r="P13" s="3">
        <v>6432.6</v>
      </c>
      <c r="Q13" s="3">
        <f t="shared" si="1"/>
        <v>23969.626000000004</v>
      </c>
      <c r="R13" s="3">
        <f>R12+B13-Q13</f>
        <v>-34589.008000000002</v>
      </c>
    </row>
    <row r="14" spans="1:20">
      <c r="A14" s="3" t="s">
        <v>3</v>
      </c>
      <c r="B14" s="5">
        <v>10912.12</v>
      </c>
      <c r="C14" s="44"/>
      <c r="D14" s="3">
        <v>1689.17</v>
      </c>
      <c r="E14" s="3">
        <v>629.86000000000013</v>
      </c>
      <c r="F14" s="3">
        <v>286.3</v>
      </c>
      <c r="G14" s="3">
        <v>413</v>
      </c>
      <c r="H14" s="3">
        <v>1600</v>
      </c>
      <c r="I14" s="3">
        <v>286.3</v>
      </c>
      <c r="J14" s="3">
        <v>171.78</v>
      </c>
      <c r="K14" s="3"/>
      <c r="L14" s="3"/>
      <c r="M14" s="3">
        <v>257.67</v>
      </c>
      <c r="N14" s="3">
        <v>881.19</v>
      </c>
      <c r="O14" s="3">
        <v>950.51599999999996</v>
      </c>
      <c r="P14" s="3">
        <v>5209.0429999999997</v>
      </c>
      <c r="Q14" s="3">
        <f t="shared" si="1"/>
        <v>12374.829</v>
      </c>
      <c r="R14" s="3">
        <f>R13+B14-Q14</f>
        <v>-36051.716999999997</v>
      </c>
    </row>
    <row r="15" spans="1:20">
      <c r="A15" s="3" t="s">
        <v>4</v>
      </c>
      <c r="B15" s="5">
        <v>12277.43</v>
      </c>
      <c r="C15" s="44"/>
      <c r="D15" s="3">
        <v>1689.17</v>
      </c>
      <c r="E15" s="3">
        <v>629.86000000000013</v>
      </c>
      <c r="F15" s="3">
        <v>286.3</v>
      </c>
      <c r="G15" s="3"/>
      <c r="H15" s="3"/>
      <c r="I15" s="3">
        <v>286.3</v>
      </c>
      <c r="J15" s="3">
        <v>171.78</v>
      </c>
      <c r="K15" s="3"/>
      <c r="L15" s="3"/>
      <c r="M15" s="3">
        <v>257.67</v>
      </c>
      <c r="N15" s="3">
        <v>1308.1300000000001</v>
      </c>
      <c r="O15" s="3">
        <v>950.51599999999996</v>
      </c>
      <c r="P15" s="3">
        <v>6396.0420000000004</v>
      </c>
      <c r="Q15" s="3">
        <f t="shared" si="1"/>
        <v>11975.768</v>
      </c>
      <c r="R15" s="3">
        <f>R14+B15-Q15</f>
        <v>-35750.054999999993</v>
      </c>
    </row>
    <row r="16" spans="1:20">
      <c r="A16" s="3" t="s">
        <v>5</v>
      </c>
      <c r="B16" s="5">
        <v>11189.17</v>
      </c>
      <c r="C16" s="44"/>
      <c r="D16" s="3">
        <v>1689.17</v>
      </c>
      <c r="E16" s="3">
        <v>629.86000000000013</v>
      </c>
      <c r="F16" s="3">
        <v>286.3</v>
      </c>
      <c r="G16" s="3"/>
      <c r="H16" s="3"/>
      <c r="I16" s="3">
        <v>286.3</v>
      </c>
      <c r="J16" s="3">
        <v>171.78</v>
      </c>
      <c r="K16" s="3"/>
      <c r="L16" s="3"/>
      <c r="M16" s="3">
        <v>257.67</v>
      </c>
      <c r="N16" s="3">
        <v>3264.09</v>
      </c>
      <c r="O16" s="3">
        <v>950.51599999999996</v>
      </c>
      <c r="P16" s="3">
        <v>5814.5829999999996</v>
      </c>
      <c r="Q16" s="3">
        <f t="shared" si="1"/>
        <v>13350.269</v>
      </c>
      <c r="R16" s="3">
        <f>R15+B16-Q16</f>
        <v>-37911.153999999995</v>
      </c>
    </row>
    <row r="17" spans="1:18" s="45" customFormat="1">
      <c r="A17" s="6" t="s">
        <v>81</v>
      </c>
      <c r="B17" s="10">
        <f>SUM(B11:B16)</f>
        <v>72137.97</v>
      </c>
      <c r="C17" s="10">
        <f t="shared" ref="C17:Q17" si="2">SUM(C11:C16)</f>
        <v>0</v>
      </c>
      <c r="D17" s="10">
        <f t="shared" si="2"/>
        <v>10135.02</v>
      </c>
      <c r="E17" s="10">
        <f t="shared" si="2"/>
        <v>3779.1600000000008</v>
      </c>
      <c r="F17" s="10">
        <f t="shared" si="2"/>
        <v>1717.8</v>
      </c>
      <c r="G17" s="10">
        <f t="shared" si="2"/>
        <v>3120</v>
      </c>
      <c r="H17" s="10">
        <f t="shared" si="2"/>
        <v>1600</v>
      </c>
      <c r="I17" s="10">
        <f t="shared" si="2"/>
        <v>1717.8</v>
      </c>
      <c r="J17" s="10">
        <f t="shared" si="2"/>
        <v>1030.68</v>
      </c>
      <c r="K17" s="10">
        <f t="shared" si="2"/>
        <v>0</v>
      </c>
      <c r="L17" s="10">
        <f t="shared" si="2"/>
        <v>810</v>
      </c>
      <c r="M17" s="10">
        <f t="shared" si="2"/>
        <v>1546.0200000000002</v>
      </c>
      <c r="N17" s="10">
        <f t="shared" si="2"/>
        <v>20417.91</v>
      </c>
      <c r="O17" s="10">
        <f t="shared" si="2"/>
        <v>5703.0959999999995</v>
      </c>
      <c r="P17" s="10">
        <f t="shared" si="2"/>
        <v>33558.548000000003</v>
      </c>
      <c r="Q17" s="10">
        <f t="shared" si="2"/>
        <v>85136.034</v>
      </c>
      <c r="R17" s="6"/>
    </row>
    <row r="18" spans="1:18" s="43" customFormat="1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1">
        <v>1.81</v>
      </c>
      <c r="P18" s="41">
        <v>25.63</v>
      </c>
      <c r="Q18" s="41"/>
      <c r="R18" s="3">
        <f>R16+B18-Q18</f>
        <v>-37911.153999999995</v>
      </c>
    </row>
    <row r="19" spans="1:18">
      <c r="A19" s="3" t="s">
        <v>6</v>
      </c>
      <c r="B19" s="5">
        <v>10844.17</v>
      </c>
      <c r="C19" s="44">
        <f t="shared" ref="C19:C24" si="3">B19*2.5/100</f>
        <v>271.10424999999998</v>
      </c>
      <c r="D19" s="3">
        <f>D18*572.6</f>
        <v>1517.39</v>
      </c>
      <c r="E19" s="3">
        <f t="shared" ref="E19:O19" si="4">E18*572.6</f>
        <v>515.34</v>
      </c>
      <c r="F19" s="3">
        <f t="shared" si="4"/>
        <v>286.3</v>
      </c>
      <c r="G19" s="3"/>
      <c r="H19" s="3"/>
      <c r="I19" s="3">
        <f t="shared" si="4"/>
        <v>229.04000000000002</v>
      </c>
      <c r="J19" s="3">
        <f t="shared" si="4"/>
        <v>171.78</v>
      </c>
      <c r="K19" s="11">
        <f t="shared" si="4"/>
        <v>62.986000000000004</v>
      </c>
      <c r="L19" s="11"/>
      <c r="M19" s="3">
        <f t="shared" si="4"/>
        <v>543.97</v>
      </c>
      <c r="N19" s="79">
        <v>119.02</v>
      </c>
      <c r="O19" s="3">
        <f t="shared" si="4"/>
        <v>1036.4060000000002</v>
      </c>
      <c r="P19" s="3">
        <v>7044.69</v>
      </c>
      <c r="Q19" s="11">
        <f>SUM(C19:P19)</f>
        <v>11798.026250000001</v>
      </c>
      <c r="R19" s="3">
        <f t="shared" ref="R19:R24" si="5">R18+B19-Q19</f>
        <v>-38865.010249999999</v>
      </c>
    </row>
    <row r="20" spans="1:18">
      <c r="A20" s="3" t="s">
        <v>7</v>
      </c>
      <c r="B20" s="5">
        <v>13031.56</v>
      </c>
      <c r="C20" s="44">
        <f t="shared" si="3"/>
        <v>325.78899999999999</v>
      </c>
      <c r="D20" s="3">
        <v>1517.39</v>
      </c>
      <c r="E20" s="3">
        <v>515.34</v>
      </c>
      <c r="F20" s="3">
        <v>286.3</v>
      </c>
      <c r="G20" s="3"/>
      <c r="H20" s="3"/>
      <c r="I20" s="3">
        <v>229.04000000000002</v>
      </c>
      <c r="J20" s="3">
        <v>171.78</v>
      </c>
      <c r="K20" s="3">
        <v>62.99</v>
      </c>
      <c r="L20" s="3"/>
      <c r="M20" s="3">
        <v>543.97</v>
      </c>
      <c r="N20" s="79">
        <v>1480.36</v>
      </c>
      <c r="O20" s="3">
        <v>1036.4060000000002</v>
      </c>
      <c r="P20" s="3">
        <v>8342.18</v>
      </c>
      <c r="Q20" s="11">
        <f t="shared" ref="Q20:Q24" si="6">SUM(C20:P20)</f>
        <v>14511.545</v>
      </c>
      <c r="R20" s="3">
        <f t="shared" si="5"/>
        <v>-40344.99525</v>
      </c>
    </row>
    <row r="21" spans="1:18">
      <c r="A21" s="3" t="s">
        <v>8</v>
      </c>
      <c r="B21" s="5">
        <v>14929.72</v>
      </c>
      <c r="C21" s="44">
        <f t="shared" si="3"/>
        <v>373.24299999999994</v>
      </c>
      <c r="D21" s="3">
        <v>1517.39</v>
      </c>
      <c r="E21" s="3">
        <v>515.34</v>
      </c>
      <c r="F21" s="3">
        <v>286.3</v>
      </c>
      <c r="G21" s="3"/>
      <c r="H21" s="3"/>
      <c r="I21" s="3">
        <v>229.04000000000002</v>
      </c>
      <c r="J21" s="3">
        <v>171.78</v>
      </c>
      <c r="K21" s="3">
        <v>62.99</v>
      </c>
      <c r="L21" s="3"/>
      <c r="M21" s="3">
        <v>543.97</v>
      </c>
      <c r="N21" s="3">
        <v>269.37</v>
      </c>
      <c r="O21" s="3">
        <v>1036.4060000000002</v>
      </c>
      <c r="P21" s="3">
        <v>6748.93</v>
      </c>
      <c r="Q21" s="11">
        <f t="shared" si="6"/>
        <v>11754.759</v>
      </c>
      <c r="R21" s="3">
        <f t="shared" si="5"/>
        <v>-37170.034249999997</v>
      </c>
    </row>
    <row r="22" spans="1:18">
      <c r="A22" s="3" t="s">
        <v>9</v>
      </c>
      <c r="B22" s="5">
        <v>14237.32</v>
      </c>
      <c r="C22" s="44">
        <f t="shared" si="3"/>
        <v>355.93300000000005</v>
      </c>
      <c r="D22" s="3">
        <v>1517.39</v>
      </c>
      <c r="E22" s="3">
        <v>515.34</v>
      </c>
      <c r="F22" s="3">
        <v>286.3</v>
      </c>
      <c r="G22" s="3"/>
      <c r="H22" s="3"/>
      <c r="I22" s="3">
        <v>229.04000000000002</v>
      </c>
      <c r="J22" s="3">
        <v>171.78</v>
      </c>
      <c r="K22" s="3">
        <v>62.99</v>
      </c>
      <c r="L22" s="3"/>
      <c r="M22" s="3">
        <v>543.97</v>
      </c>
      <c r="N22" s="3">
        <v>3216.87</v>
      </c>
      <c r="O22" s="3">
        <f>D4*2.16</f>
        <v>1236.816</v>
      </c>
      <c r="P22" s="3">
        <v>8951.9699999999993</v>
      </c>
      <c r="Q22" s="11">
        <f t="shared" si="6"/>
        <v>17088.398999999998</v>
      </c>
      <c r="R22" s="3">
        <f t="shared" si="5"/>
        <v>-40021.113249999995</v>
      </c>
    </row>
    <row r="23" spans="1:18">
      <c r="A23" s="3" t="s">
        <v>10</v>
      </c>
      <c r="B23" s="5">
        <v>12528.62</v>
      </c>
      <c r="C23" s="44">
        <f t="shared" si="3"/>
        <v>313.21550000000002</v>
      </c>
      <c r="D23" s="3">
        <v>1517.39</v>
      </c>
      <c r="E23" s="3">
        <v>515.34</v>
      </c>
      <c r="F23" s="3">
        <v>286.3</v>
      </c>
      <c r="G23" s="3"/>
      <c r="H23" s="3"/>
      <c r="I23" s="3">
        <v>229.04000000000002</v>
      </c>
      <c r="J23" s="3">
        <v>171.78</v>
      </c>
      <c r="K23" s="3">
        <v>62.99</v>
      </c>
      <c r="L23" s="3"/>
      <c r="M23" s="3">
        <v>543.97</v>
      </c>
      <c r="N23" s="3">
        <v>305.93</v>
      </c>
      <c r="O23" s="3">
        <f>O22</f>
        <v>1236.816</v>
      </c>
      <c r="P23" s="3">
        <v>7269.54</v>
      </c>
      <c r="Q23" s="11">
        <f t="shared" si="6"/>
        <v>12452.3115</v>
      </c>
      <c r="R23" s="3">
        <f t="shared" si="5"/>
        <v>-39944.804749999996</v>
      </c>
    </row>
    <row r="24" spans="1:18">
      <c r="A24" s="3" t="s">
        <v>11</v>
      </c>
      <c r="B24" s="5">
        <v>13326.62</v>
      </c>
      <c r="C24" s="44">
        <f t="shared" si="3"/>
        <v>333.16550000000001</v>
      </c>
      <c r="D24" s="3">
        <v>1517.39</v>
      </c>
      <c r="E24" s="3">
        <v>515.34</v>
      </c>
      <c r="F24" s="3">
        <v>286.3</v>
      </c>
      <c r="G24" s="3"/>
      <c r="H24" s="3"/>
      <c r="I24" s="3">
        <v>229.04000000000002</v>
      </c>
      <c r="J24" s="3">
        <v>171.78</v>
      </c>
      <c r="K24" s="3">
        <v>62.99</v>
      </c>
      <c r="L24" s="3"/>
      <c r="M24" s="3">
        <v>543.97</v>
      </c>
      <c r="N24" s="3">
        <v>962.33</v>
      </c>
      <c r="O24" s="3">
        <f>O23</f>
        <v>1236.816</v>
      </c>
      <c r="P24" s="3">
        <v>10022.48</v>
      </c>
      <c r="Q24" s="11">
        <f t="shared" si="6"/>
        <v>15881.601500000001</v>
      </c>
      <c r="R24" s="3">
        <f t="shared" si="5"/>
        <v>-42499.78624999999</v>
      </c>
    </row>
    <row r="25" spans="1:18" s="45" customFormat="1">
      <c r="A25" s="6" t="s">
        <v>82</v>
      </c>
      <c r="B25" s="10">
        <f>SUM(B19:B24)</f>
        <v>78898.009999999995</v>
      </c>
      <c r="C25" s="10">
        <f t="shared" ref="C25:Q25" si="7">SUM(C19:C24)</f>
        <v>1972.4502500000001</v>
      </c>
      <c r="D25" s="10">
        <f t="shared" si="7"/>
        <v>9104.34</v>
      </c>
      <c r="E25" s="10">
        <f t="shared" si="7"/>
        <v>3092.0400000000004</v>
      </c>
      <c r="F25" s="10">
        <f t="shared" si="7"/>
        <v>1717.8</v>
      </c>
      <c r="G25" s="10">
        <f t="shared" si="7"/>
        <v>0</v>
      </c>
      <c r="H25" s="10">
        <f t="shared" si="7"/>
        <v>0</v>
      </c>
      <c r="I25" s="10">
        <f t="shared" si="7"/>
        <v>1374.24</v>
      </c>
      <c r="J25" s="10">
        <f t="shared" si="7"/>
        <v>1030.68</v>
      </c>
      <c r="K25" s="10">
        <f t="shared" si="7"/>
        <v>377.93600000000004</v>
      </c>
      <c r="L25" s="10">
        <f t="shared" si="7"/>
        <v>0</v>
      </c>
      <c r="M25" s="10">
        <f t="shared" si="7"/>
        <v>3263.8200000000006</v>
      </c>
      <c r="N25" s="10">
        <f t="shared" si="7"/>
        <v>6353.88</v>
      </c>
      <c r="O25" s="10">
        <f t="shared" si="7"/>
        <v>6819.6660000000002</v>
      </c>
      <c r="P25" s="10">
        <f t="shared" si="7"/>
        <v>48379.789999999994</v>
      </c>
      <c r="Q25" s="10">
        <f t="shared" si="7"/>
        <v>83486.642250000004</v>
      </c>
      <c r="R25" s="6"/>
    </row>
    <row r="26" spans="1:18" s="59" customFormat="1">
      <c r="A26" s="58" t="s">
        <v>55</v>
      </c>
      <c r="B26" s="58">
        <f>B17+B25</f>
        <v>151035.97999999998</v>
      </c>
      <c r="C26" s="58">
        <f t="shared" ref="C26:Q26" si="8">C17+C25</f>
        <v>1972.4502500000001</v>
      </c>
      <c r="D26" s="58">
        <f t="shared" si="8"/>
        <v>19239.36</v>
      </c>
      <c r="E26" s="58">
        <f t="shared" si="8"/>
        <v>6871.2000000000007</v>
      </c>
      <c r="F26" s="58">
        <f t="shared" si="8"/>
        <v>3435.6</v>
      </c>
      <c r="G26" s="58">
        <f t="shared" si="8"/>
        <v>3120</v>
      </c>
      <c r="H26" s="58">
        <f t="shared" si="8"/>
        <v>1600</v>
      </c>
      <c r="I26" s="58">
        <f t="shared" si="8"/>
        <v>3092.04</v>
      </c>
      <c r="J26" s="58">
        <f t="shared" si="8"/>
        <v>2061.36</v>
      </c>
      <c r="K26" s="58">
        <f t="shared" si="8"/>
        <v>377.93600000000004</v>
      </c>
      <c r="L26" s="58">
        <f t="shared" si="8"/>
        <v>810</v>
      </c>
      <c r="M26" s="58">
        <f t="shared" si="8"/>
        <v>4809.8400000000011</v>
      </c>
      <c r="N26" s="58">
        <f t="shared" si="8"/>
        <v>26771.79</v>
      </c>
      <c r="O26" s="58">
        <f t="shared" si="8"/>
        <v>12522.761999999999</v>
      </c>
      <c r="P26" s="58">
        <f t="shared" si="8"/>
        <v>81938.337999999989</v>
      </c>
      <c r="Q26" s="58">
        <f t="shared" si="8"/>
        <v>168622.67625000002</v>
      </c>
      <c r="R26" s="58">
        <f>D6+B26-Q26</f>
        <v>-42499.786250000034</v>
      </c>
    </row>
    <row r="27" spans="1:18">
      <c r="R27" s="21"/>
    </row>
    <row r="28" spans="1:18">
      <c r="A28" s="3" t="s">
        <v>67</v>
      </c>
      <c r="B28" s="3"/>
      <c r="C28" s="3"/>
      <c r="D28" s="3">
        <v>160</v>
      </c>
    </row>
    <row r="29" spans="1:18">
      <c r="A29" s="106" t="s">
        <v>68</v>
      </c>
      <c r="B29" s="106"/>
      <c r="C29" s="32"/>
      <c r="D29" s="3">
        <v>425</v>
      </c>
    </row>
    <row r="30" spans="1:18">
      <c r="A30" s="106"/>
      <c r="B30" s="106"/>
      <c r="C30" s="32"/>
      <c r="D30" s="3">
        <v>225</v>
      </c>
    </row>
    <row r="33" ht="12.75" customHeight="1"/>
  </sheetData>
  <mergeCells count="22">
    <mergeCell ref="A29:B30"/>
    <mergeCell ref="A6:B6"/>
    <mergeCell ref="A8:A9"/>
    <mergeCell ref="B8:B9"/>
    <mergeCell ref="D8:P8"/>
    <mergeCell ref="P6:Q6"/>
    <mergeCell ref="P7:Q7"/>
    <mergeCell ref="Q8:Q9"/>
    <mergeCell ref="L7:O7"/>
    <mergeCell ref="R8:R9"/>
    <mergeCell ref="A1:R1"/>
    <mergeCell ref="A3:B3"/>
    <mergeCell ref="D3:E3"/>
    <mergeCell ref="F3:G3"/>
    <mergeCell ref="A4:B4"/>
    <mergeCell ref="N3:Q3"/>
    <mergeCell ref="A5:B5"/>
    <mergeCell ref="P4:Q4"/>
    <mergeCell ref="P5:Q5"/>
    <mergeCell ref="L4:O4"/>
    <mergeCell ref="L5:O5"/>
    <mergeCell ref="L6:O6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T30"/>
  <sheetViews>
    <sheetView workbookViewId="0">
      <selection activeCell="N21" sqref="N21"/>
    </sheetView>
  </sheetViews>
  <sheetFormatPr defaultRowHeight="15"/>
  <cols>
    <col min="1" max="1" width="13.7109375" customWidth="1"/>
    <col min="2" max="2" width="9.85546875" customWidth="1"/>
    <col min="3" max="3" width="9.42578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1.28515625" customWidth="1"/>
    <col min="15" max="15" width="7.28515625" customWidth="1"/>
    <col min="16" max="16" width="8.7109375" customWidth="1"/>
    <col min="17" max="17" width="9.85546875" customWidth="1"/>
    <col min="18" max="18" width="9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44</v>
      </c>
      <c r="N3" s="96"/>
      <c r="O3" s="96"/>
      <c r="P3" s="96"/>
      <c r="Q3" s="96"/>
      <c r="R3" s="96"/>
    </row>
    <row r="4" spans="1:20" ht="15.75" thickBot="1">
      <c r="A4" s="94" t="s">
        <v>14</v>
      </c>
      <c r="B4" s="95"/>
      <c r="C4" s="31"/>
      <c r="D4" s="1">
        <v>986.9</v>
      </c>
      <c r="E4" s="8" t="s">
        <v>27</v>
      </c>
      <c r="M4" s="97" t="s">
        <v>61</v>
      </c>
      <c r="N4" s="97"/>
      <c r="O4" s="97"/>
      <c r="P4" s="97"/>
      <c r="Q4" s="123">
        <v>22083.08</v>
      </c>
      <c r="R4" s="123"/>
    </row>
    <row r="5" spans="1:20" ht="15.75" thickBot="1">
      <c r="A5" s="94" t="s">
        <v>13</v>
      </c>
      <c r="B5" s="95"/>
      <c r="C5" s="31"/>
      <c r="D5" s="1">
        <v>2</v>
      </c>
      <c r="M5" s="97" t="s">
        <v>84</v>
      </c>
      <c r="N5" s="97"/>
      <c r="O5" s="97"/>
      <c r="P5" s="97"/>
      <c r="Q5" s="123">
        <v>50608.55</v>
      </c>
      <c r="R5" s="123"/>
    </row>
    <row r="6" spans="1:20" ht="15.75" thickBot="1">
      <c r="A6" s="94" t="s">
        <v>15</v>
      </c>
      <c r="B6" s="95"/>
      <c r="C6" s="31"/>
      <c r="D6" s="1">
        <v>57915.42</v>
      </c>
      <c r="M6" s="97" t="s">
        <v>62</v>
      </c>
      <c r="N6" s="97"/>
      <c r="O6" s="97"/>
      <c r="P6" s="97"/>
      <c r="Q6" s="123"/>
      <c r="R6" s="123"/>
    </row>
    <row r="7" spans="1:20">
      <c r="M7" s="102" t="s">
        <v>64</v>
      </c>
      <c r="N7" s="102"/>
      <c r="O7" s="97"/>
      <c r="P7" s="97"/>
      <c r="Q7" s="106">
        <f>SUM(Q4:R6)</f>
        <v>72691.63</v>
      </c>
      <c r="R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34.339999999999996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9"/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20082.330000000002</v>
      </c>
      <c r="C11" s="44"/>
      <c r="D11" s="11">
        <f>D10*986.9</f>
        <v>2911.355</v>
      </c>
      <c r="E11" s="11">
        <f t="shared" ref="E11:O11" si="0">E10*986.9</f>
        <v>1085.5900000000001</v>
      </c>
      <c r="F11" s="11">
        <f t="shared" si="0"/>
        <v>493.45</v>
      </c>
      <c r="G11" s="11"/>
      <c r="H11" s="11"/>
      <c r="I11" s="11">
        <f t="shared" si="0"/>
        <v>493.45</v>
      </c>
      <c r="J11" s="11">
        <f t="shared" si="0"/>
        <v>296.07</v>
      </c>
      <c r="K11" s="44"/>
      <c r="L11" s="56">
        <v>160</v>
      </c>
      <c r="M11" s="11">
        <f t="shared" si="0"/>
        <v>444.10500000000002</v>
      </c>
      <c r="N11" s="56">
        <v>31464.32</v>
      </c>
      <c r="O11" s="11">
        <f t="shared" si="0"/>
        <v>1638.2539999999999</v>
      </c>
      <c r="P11" s="11">
        <v>8076.54</v>
      </c>
      <c r="Q11" s="11">
        <f t="shared" ref="Q11:Q16" si="1">SUM(D11:P11)</f>
        <v>47063.133999999998</v>
      </c>
      <c r="R11" s="3">
        <f>D6+B11-Q11</f>
        <v>30934.616000000002</v>
      </c>
    </row>
    <row r="12" spans="1:20">
      <c r="A12" s="3" t="s">
        <v>1</v>
      </c>
      <c r="B12" s="5">
        <v>21087.09</v>
      </c>
      <c r="C12" s="44"/>
      <c r="D12" s="3">
        <v>2911.355</v>
      </c>
      <c r="E12" s="3">
        <v>1085.5900000000001</v>
      </c>
      <c r="F12" s="3">
        <v>493.45</v>
      </c>
      <c r="G12" s="3"/>
      <c r="H12" s="3"/>
      <c r="I12" s="3">
        <v>493.45</v>
      </c>
      <c r="J12" s="3">
        <v>296.07</v>
      </c>
      <c r="K12" s="15"/>
      <c r="L12" s="57">
        <v>225</v>
      </c>
      <c r="M12" s="3">
        <v>444.10500000000002</v>
      </c>
      <c r="N12" s="3">
        <v>9257.6</v>
      </c>
      <c r="O12" s="3">
        <v>1638.2539999999999</v>
      </c>
      <c r="P12" s="3">
        <v>10314.61</v>
      </c>
      <c r="Q12" s="3">
        <f t="shared" si="1"/>
        <v>27159.484</v>
      </c>
      <c r="R12" s="3">
        <f>R11+B12-Q12</f>
        <v>24862.222000000005</v>
      </c>
    </row>
    <row r="13" spans="1:20">
      <c r="A13" s="3" t="s">
        <v>2</v>
      </c>
      <c r="B13" s="5">
        <v>19831.14</v>
      </c>
      <c r="C13" s="44"/>
      <c r="D13" s="3">
        <v>2911.355</v>
      </c>
      <c r="E13" s="3">
        <v>1085.5900000000001</v>
      </c>
      <c r="F13" s="3">
        <v>493.45</v>
      </c>
      <c r="G13" s="3">
        <v>6335.98</v>
      </c>
      <c r="H13" s="3"/>
      <c r="I13" s="3">
        <v>493.45</v>
      </c>
      <c r="J13" s="3">
        <v>296.07</v>
      </c>
      <c r="K13" s="15"/>
      <c r="L13" s="57"/>
      <c r="M13" s="3">
        <v>444.10500000000002</v>
      </c>
      <c r="N13" s="3">
        <v>145.30000000000001</v>
      </c>
      <c r="O13" s="3">
        <v>1638.2539999999999</v>
      </c>
      <c r="P13" s="3">
        <v>9039.74</v>
      </c>
      <c r="Q13" s="3">
        <f t="shared" si="1"/>
        <v>22883.294000000002</v>
      </c>
      <c r="R13" s="3">
        <f>R12+B13-Q13</f>
        <v>21810.068000000007</v>
      </c>
    </row>
    <row r="14" spans="1:20">
      <c r="A14" s="3" t="s">
        <v>3</v>
      </c>
      <c r="B14" s="5">
        <v>17989.080000000002</v>
      </c>
      <c r="C14" s="44"/>
      <c r="D14" s="3">
        <v>2911.355</v>
      </c>
      <c r="E14" s="3">
        <v>1085.5900000000001</v>
      </c>
      <c r="F14" s="3">
        <v>493.45</v>
      </c>
      <c r="G14" s="3">
        <v>1034</v>
      </c>
      <c r="H14" s="3">
        <v>3560</v>
      </c>
      <c r="I14" s="3">
        <v>493.45</v>
      </c>
      <c r="J14" s="3">
        <v>296.07</v>
      </c>
      <c r="K14" s="15"/>
      <c r="L14" s="57"/>
      <c r="M14" s="3">
        <v>444.10500000000002</v>
      </c>
      <c r="N14" s="3">
        <v>63.8</v>
      </c>
      <c r="O14" s="3">
        <v>1638.2539999999999</v>
      </c>
      <c r="P14" s="3">
        <v>6407.165</v>
      </c>
      <c r="Q14" s="3">
        <f t="shared" si="1"/>
        <v>18427.239000000001</v>
      </c>
      <c r="R14" s="3">
        <f>R13+B14-Q14</f>
        <v>21371.909000000007</v>
      </c>
    </row>
    <row r="15" spans="1:20">
      <c r="A15" s="3" t="s">
        <v>4</v>
      </c>
      <c r="B15" s="5">
        <v>19747.41</v>
      </c>
      <c r="C15" s="44"/>
      <c r="D15" s="3">
        <v>2911.355</v>
      </c>
      <c r="E15" s="3">
        <v>1085.5900000000001</v>
      </c>
      <c r="F15" s="3">
        <v>493.45</v>
      </c>
      <c r="G15" s="3"/>
      <c r="H15" s="3"/>
      <c r="I15" s="3">
        <v>493.45</v>
      </c>
      <c r="J15" s="3">
        <v>296.07</v>
      </c>
      <c r="K15" s="15"/>
      <c r="L15" s="57">
        <v>850.42</v>
      </c>
      <c r="M15" s="3">
        <v>444.10500000000002</v>
      </c>
      <c r="N15" s="3">
        <v>259.89999999999998</v>
      </c>
      <c r="O15" s="3">
        <v>1638.2539999999999</v>
      </c>
      <c r="P15" s="3">
        <v>8717.1440000000002</v>
      </c>
      <c r="Q15" s="3">
        <f t="shared" si="1"/>
        <v>17189.738000000001</v>
      </c>
      <c r="R15" s="3">
        <f>R14+B15-Q15</f>
        <v>23929.581000000002</v>
      </c>
    </row>
    <row r="16" spans="1:20">
      <c r="A16" s="3" t="s">
        <v>5</v>
      </c>
      <c r="B16" s="5">
        <v>20333.52</v>
      </c>
      <c r="C16" s="44"/>
      <c r="D16" s="3">
        <v>2911.355</v>
      </c>
      <c r="E16" s="3">
        <v>1085.5900000000001</v>
      </c>
      <c r="F16" s="3">
        <v>493.45</v>
      </c>
      <c r="G16" s="3"/>
      <c r="H16" s="3"/>
      <c r="I16" s="3">
        <v>493.45</v>
      </c>
      <c r="J16" s="3">
        <v>296.07</v>
      </c>
      <c r="K16" s="3"/>
      <c r="L16" s="3"/>
      <c r="M16" s="3">
        <v>444.10500000000002</v>
      </c>
      <c r="N16" s="3">
        <v>10175.56</v>
      </c>
      <c r="O16" s="3">
        <v>1638.2539999999999</v>
      </c>
      <c r="P16" s="3">
        <v>9847.1450000000004</v>
      </c>
      <c r="Q16" s="3">
        <f t="shared" si="1"/>
        <v>27384.978999999999</v>
      </c>
      <c r="R16" s="3">
        <f>R15+B16-Q16</f>
        <v>16878.122000000003</v>
      </c>
    </row>
    <row r="17" spans="1:18" s="45" customFormat="1">
      <c r="A17" s="6" t="s">
        <v>81</v>
      </c>
      <c r="B17" s="10">
        <f>SUM(B11:B16)</f>
        <v>119070.57</v>
      </c>
      <c r="C17" s="10">
        <f t="shared" ref="C17:Q17" si="2">SUM(C11:C16)</f>
        <v>0</v>
      </c>
      <c r="D17" s="10">
        <f t="shared" si="2"/>
        <v>17468.13</v>
      </c>
      <c r="E17" s="10">
        <f t="shared" si="2"/>
        <v>6513.5400000000009</v>
      </c>
      <c r="F17" s="10">
        <f t="shared" si="2"/>
        <v>2960.7</v>
      </c>
      <c r="G17" s="10">
        <f t="shared" si="2"/>
        <v>7369.98</v>
      </c>
      <c r="H17" s="10">
        <f t="shared" si="2"/>
        <v>3560</v>
      </c>
      <c r="I17" s="10">
        <f t="shared" si="2"/>
        <v>2960.7</v>
      </c>
      <c r="J17" s="10">
        <f t="shared" si="2"/>
        <v>1776.4199999999998</v>
      </c>
      <c r="K17" s="10">
        <f t="shared" si="2"/>
        <v>0</v>
      </c>
      <c r="L17" s="10">
        <f t="shared" si="2"/>
        <v>1235.42</v>
      </c>
      <c r="M17" s="10">
        <f t="shared" si="2"/>
        <v>2664.63</v>
      </c>
      <c r="N17" s="10">
        <f t="shared" si="2"/>
        <v>51366.48</v>
      </c>
      <c r="O17" s="10">
        <f t="shared" si="2"/>
        <v>9829.5239999999994</v>
      </c>
      <c r="P17" s="10">
        <f t="shared" si="2"/>
        <v>52402.343999999997</v>
      </c>
      <c r="Q17" s="10">
        <f t="shared" si="2"/>
        <v>160107.86800000002</v>
      </c>
      <c r="R17" s="6"/>
    </row>
    <row r="18" spans="1:18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>
        <v>0.37</v>
      </c>
      <c r="O18" s="41">
        <v>1.81</v>
      </c>
      <c r="P18" s="41">
        <v>25.63</v>
      </c>
      <c r="Q18" s="41"/>
      <c r="R18" s="3">
        <f>R16+B18-Q18</f>
        <v>16878.122000000003</v>
      </c>
    </row>
    <row r="19" spans="1:18">
      <c r="A19" s="3" t="s">
        <v>6</v>
      </c>
      <c r="B19" s="5">
        <v>21170.82</v>
      </c>
      <c r="C19" s="44">
        <f t="shared" ref="C19:C24" si="3">B19*2.5/100</f>
        <v>529.27050000000008</v>
      </c>
      <c r="D19" s="3">
        <f>D18*986.9</f>
        <v>2615.2849999999999</v>
      </c>
      <c r="E19" s="3">
        <f t="shared" ref="E19:O19" si="4">E18*986.9</f>
        <v>888.21</v>
      </c>
      <c r="F19" s="3">
        <f t="shared" si="4"/>
        <v>493.45</v>
      </c>
      <c r="G19" s="3"/>
      <c r="H19" s="3"/>
      <c r="I19" s="3">
        <f t="shared" si="4"/>
        <v>394.76</v>
      </c>
      <c r="J19" s="3">
        <f t="shared" si="4"/>
        <v>296.07</v>
      </c>
      <c r="K19" s="3">
        <f t="shared" si="4"/>
        <v>108.559</v>
      </c>
      <c r="L19" s="11"/>
      <c r="M19" s="11">
        <f t="shared" si="4"/>
        <v>937.55499999999995</v>
      </c>
      <c r="N19" s="74">
        <v>855.78</v>
      </c>
      <c r="O19" s="3">
        <f t="shared" si="4"/>
        <v>1786.289</v>
      </c>
      <c r="P19" s="3">
        <v>10270.879999999999</v>
      </c>
      <c r="Q19" s="11">
        <f>SUM(C19:P19)</f>
        <v>19176.108500000002</v>
      </c>
      <c r="R19" s="3">
        <f t="shared" ref="R19:R24" si="5">R18+B19-Q19</f>
        <v>18872.833500000001</v>
      </c>
    </row>
    <row r="20" spans="1:18">
      <c r="A20" s="3" t="s">
        <v>7</v>
      </c>
      <c r="B20" s="5">
        <v>21747.7</v>
      </c>
      <c r="C20" s="44">
        <f t="shared" si="3"/>
        <v>543.6925</v>
      </c>
      <c r="D20" s="3">
        <v>2615.2849999999999</v>
      </c>
      <c r="E20" s="3">
        <v>888.21</v>
      </c>
      <c r="F20" s="3">
        <v>493.45</v>
      </c>
      <c r="G20" s="3"/>
      <c r="H20" s="3"/>
      <c r="I20" s="3">
        <v>394.76</v>
      </c>
      <c r="J20" s="3">
        <v>296.07</v>
      </c>
      <c r="K20" s="3">
        <v>108.56</v>
      </c>
      <c r="L20" s="3"/>
      <c r="M20" s="11">
        <v>937.55499999999995</v>
      </c>
      <c r="N20" s="74">
        <v>824.22</v>
      </c>
      <c r="O20" s="3">
        <v>1786.289</v>
      </c>
      <c r="P20" s="3">
        <v>11463.62</v>
      </c>
      <c r="Q20" s="11">
        <f t="shared" ref="Q20:Q24" si="6">SUM(C20:P20)</f>
        <v>20351.711500000001</v>
      </c>
      <c r="R20" s="3">
        <f t="shared" si="5"/>
        <v>20268.822000000004</v>
      </c>
    </row>
    <row r="21" spans="1:18">
      <c r="A21" s="3" t="s">
        <v>8</v>
      </c>
      <c r="B21" s="5">
        <v>27118.07</v>
      </c>
      <c r="C21" s="44">
        <f t="shared" si="3"/>
        <v>677.95175000000006</v>
      </c>
      <c r="D21" s="3">
        <v>2615.2849999999999</v>
      </c>
      <c r="E21" s="3">
        <v>888.21</v>
      </c>
      <c r="F21" s="3">
        <v>493.45</v>
      </c>
      <c r="G21" s="15"/>
      <c r="H21" s="3"/>
      <c r="I21" s="3">
        <v>394.76</v>
      </c>
      <c r="J21" s="3">
        <v>296.07</v>
      </c>
      <c r="K21" s="3">
        <v>108.56</v>
      </c>
      <c r="L21" s="3"/>
      <c r="M21" s="11">
        <v>937.55499999999995</v>
      </c>
      <c r="N21" s="3">
        <v>1045.2</v>
      </c>
      <c r="O21" s="3">
        <v>1786.289</v>
      </c>
      <c r="P21" s="3">
        <v>9052.86</v>
      </c>
      <c r="Q21" s="11">
        <f t="shared" si="6"/>
        <v>18296.190750000002</v>
      </c>
      <c r="R21" s="3">
        <f t="shared" si="5"/>
        <v>29090.701250000006</v>
      </c>
    </row>
    <row r="22" spans="1:18">
      <c r="A22" s="3" t="s">
        <v>9</v>
      </c>
      <c r="B22" s="5">
        <v>24223.56</v>
      </c>
      <c r="C22" s="44">
        <f t="shared" si="3"/>
        <v>605.58900000000006</v>
      </c>
      <c r="D22" s="3">
        <v>2615.2849999999999</v>
      </c>
      <c r="E22" s="3">
        <v>888.21</v>
      </c>
      <c r="F22" s="3">
        <v>493.45</v>
      </c>
      <c r="G22" s="3"/>
      <c r="H22" s="3"/>
      <c r="I22" s="3">
        <v>394.76</v>
      </c>
      <c r="J22" s="3">
        <v>296.07</v>
      </c>
      <c r="K22" s="3">
        <v>108.56</v>
      </c>
      <c r="L22" s="3"/>
      <c r="M22" s="11">
        <v>937.55499999999995</v>
      </c>
      <c r="N22" s="3">
        <v>718.72</v>
      </c>
      <c r="O22" s="3">
        <f>D4*2.16</f>
        <v>2131.7040000000002</v>
      </c>
      <c r="P22" s="3">
        <v>9039.25</v>
      </c>
      <c r="Q22" s="11">
        <f t="shared" si="6"/>
        <v>18229.152999999998</v>
      </c>
      <c r="R22" s="3">
        <f t="shared" si="5"/>
        <v>35085.108250000012</v>
      </c>
    </row>
    <row r="23" spans="1:18">
      <c r="A23" s="3" t="s">
        <v>10</v>
      </c>
      <c r="B23" s="5">
        <v>25045.33</v>
      </c>
      <c r="C23" s="44">
        <f t="shared" si="3"/>
        <v>626.13325000000009</v>
      </c>
      <c r="D23" s="3">
        <v>2615.2849999999999</v>
      </c>
      <c r="E23" s="3">
        <v>888.21</v>
      </c>
      <c r="F23" s="3">
        <v>493.45</v>
      </c>
      <c r="G23" s="3"/>
      <c r="H23" s="3"/>
      <c r="I23" s="3">
        <v>394.76</v>
      </c>
      <c r="J23" s="3">
        <v>296.07</v>
      </c>
      <c r="K23" s="3">
        <v>108.56</v>
      </c>
      <c r="L23" s="3"/>
      <c r="M23" s="11">
        <v>937.55499999999995</v>
      </c>
      <c r="N23" s="3">
        <v>513.16999999999996</v>
      </c>
      <c r="O23" s="3">
        <f>O22</f>
        <v>2131.7040000000002</v>
      </c>
      <c r="P23" s="3">
        <v>8553.4500000000007</v>
      </c>
      <c r="Q23" s="11">
        <f t="shared" si="6"/>
        <v>17558.347249999999</v>
      </c>
      <c r="R23" s="3">
        <f t="shared" si="5"/>
        <v>42572.091000000015</v>
      </c>
    </row>
    <row r="24" spans="1:18">
      <c r="A24" s="3" t="s">
        <v>11</v>
      </c>
      <c r="B24" s="5">
        <v>20159.259999999998</v>
      </c>
      <c r="C24" s="44">
        <f t="shared" si="3"/>
        <v>503.98149999999993</v>
      </c>
      <c r="D24" s="3">
        <v>2615.2849999999999</v>
      </c>
      <c r="E24" s="3">
        <v>888.21</v>
      </c>
      <c r="F24" s="3">
        <v>493.45</v>
      </c>
      <c r="G24" s="3"/>
      <c r="H24" s="3">
        <v>1700</v>
      </c>
      <c r="I24" s="3">
        <v>394.76</v>
      </c>
      <c r="J24" s="3">
        <v>296.07</v>
      </c>
      <c r="K24" s="3">
        <v>108.56</v>
      </c>
      <c r="L24" s="3"/>
      <c r="M24" s="11">
        <v>937.55499999999995</v>
      </c>
      <c r="N24" s="3">
        <v>108.3</v>
      </c>
      <c r="O24" s="3">
        <f>O23</f>
        <v>2131.7040000000002</v>
      </c>
      <c r="P24" s="3">
        <v>9658.43</v>
      </c>
      <c r="Q24" s="11">
        <f t="shared" si="6"/>
        <v>19836.305500000002</v>
      </c>
      <c r="R24" s="3">
        <f t="shared" si="5"/>
        <v>42895.045500000007</v>
      </c>
    </row>
    <row r="25" spans="1:18" s="45" customFormat="1">
      <c r="A25" s="6" t="s">
        <v>82</v>
      </c>
      <c r="B25" s="10">
        <f>SUM(B19:B24)</f>
        <v>139464.74</v>
      </c>
      <c r="C25" s="10">
        <f t="shared" ref="C25:Q25" si="7">SUM(C19:C24)</f>
        <v>3486.6185000000005</v>
      </c>
      <c r="D25" s="10">
        <f t="shared" si="7"/>
        <v>15691.71</v>
      </c>
      <c r="E25" s="10">
        <f t="shared" si="7"/>
        <v>5329.26</v>
      </c>
      <c r="F25" s="10">
        <f t="shared" si="7"/>
        <v>2960.7</v>
      </c>
      <c r="G25" s="10">
        <f t="shared" si="7"/>
        <v>0</v>
      </c>
      <c r="H25" s="10">
        <f t="shared" si="7"/>
        <v>1700</v>
      </c>
      <c r="I25" s="10">
        <f t="shared" si="7"/>
        <v>2368.56</v>
      </c>
      <c r="J25" s="10">
        <f t="shared" si="7"/>
        <v>1776.4199999999998</v>
      </c>
      <c r="K25" s="10">
        <f t="shared" si="7"/>
        <v>651.35899999999992</v>
      </c>
      <c r="L25" s="10">
        <f t="shared" si="7"/>
        <v>0</v>
      </c>
      <c r="M25" s="10">
        <f t="shared" si="7"/>
        <v>5625.33</v>
      </c>
      <c r="N25" s="10">
        <f t="shared" si="7"/>
        <v>4065.3900000000003</v>
      </c>
      <c r="O25" s="10">
        <f t="shared" si="7"/>
        <v>11753.978999999999</v>
      </c>
      <c r="P25" s="10">
        <f t="shared" si="7"/>
        <v>58038.49</v>
      </c>
      <c r="Q25" s="10">
        <f t="shared" si="7"/>
        <v>113447.8165</v>
      </c>
      <c r="R25" s="6"/>
    </row>
    <row r="26" spans="1:18" s="47" customFormat="1">
      <c r="A26" s="46" t="s">
        <v>51</v>
      </c>
      <c r="B26" s="46">
        <f>B17+B25</f>
        <v>258535.31</v>
      </c>
      <c r="C26" s="46">
        <f t="shared" ref="C26:Q26" si="8">C17+C25</f>
        <v>3486.6185000000005</v>
      </c>
      <c r="D26" s="46">
        <f t="shared" si="8"/>
        <v>33159.839999999997</v>
      </c>
      <c r="E26" s="46">
        <f t="shared" si="8"/>
        <v>11842.800000000001</v>
      </c>
      <c r="F26" s="46">
        <f t="shared" si="8"/>
        <v>5921.4</v>
      </c>
      <c r="G26" s="46">
        <f t="shared" si="8"/>
        <v>7369.98</v>
      </c>
      <c r="H26" s="46">
        <f t="shared" si="8"/>
        <v>5260</v>
      </c>
      <c r="I26" s="46">
        <f t="shared" si="8"/>
        <v>5329.26</v>
      </c>
      <c r="J26" s="46">
        <f t="shared" si="8"/>
        <v>3552.8399999999997</v>
      </c>
      <c r="K26" s="46">
        <f t="shared" si="8"/>
        <v>651.35899999999992</v>
      </c>
      <c r="L26" s="46">
        <f t="shared" si="8"/>
        <v>1235.42</v>
      </c>
      <c r="M26" s="46">
        <f t="shared" si="8"/>
        <v>8289.9599999999991</v>
      </c>
      <c r="N26" s="46">
        <f t="shared" si="8"/>
        <v>55431.87</v>
      </c>
      <c r="O26" s="46">
        <f t="shared" si="8"/>
        <v>21583.502999999997</v>
      </c>
      <c r="P26" s="46">
        <f t="shared" si="8"/>
        <v>110440.834</v>
      </c>
      <c r="Q26" s="46">
        <f t="shared" si="8"/>
        <v>273555.68450000003</v>
      </c>
      <c r="R26" s="46">
        <f>D6+B26-Q26</f>
        <v>42895.045499999949</v>
      </c>
    </row>
    <row r="27" spans="1:18">
      <c r="A27" s="15" t="s">
        <v>67</v>
      </c>
      <c r="B27" s="3"/>
      <c r="C27" s="3"/>
      <c r="D27" s="57">
        <v>160</v>
      </c>
    </row>
    <row r="28" spans="1:18">
      <c r="A28" s="102" t="s">
        <v>56</v>
      </c>
      <c r="B28" s="102"/>
      <c r="C28" s="33"/>
      <c r="D28" s="57">
        <v>850.42</v>
      </c>
    </row>
    <row r="29" spans="1:18">
      <c r="A29" s="15" t="s">
        <v>68</v>
      </c>
      <c r="B29" s="3"/>
      <c r="C29" s="3"/>
      <c r="D29" s="57">
        <v>225</v>
      </c>
    </row>
    <row r="30" spans="1:18">
      <c r="A30" s="3" t="s">
        <v>78</v>
      </c>
      <c r="B30" s="3"/>
      <c r="C30" s="3"/>
      <c r="D30" s="57">
        <v>31400</v>
      </c>
    </row>
  </sheetData>
  <mergeCells count="22">
    <mergeCell ref="A1:R1"/>
    <mergeCell ref="A3:B3"/>
    <mergeCell ref="D3:E3"/>
    <mergeCell ref="F3:G3"/>
    <mergeCell ref="A4:B4"/>
    <mergeCell ref="N3:R3"/>
    <mergeCell ref="Q4:R4"/>
    <mergeCell ref="A28:B28"/>
    <mergeCell ref="Q8:Q9"/>
    <mergeCell ref="R8:R9"/>
    <mergeCell ref="M4:P4"/>
    <mergeCell ref="M5:P5"/>
    <mergeCell ref="M6:P6"/>
    <mergeCell ref="M7:P7"/>
    <mergeCell ref="A5:B5"/>
    <mergeCell ref="Q5:R5"/>
    <mergeCell ref="Q6:R6"/>
    <mergeCell ref="A6:B6"/>
    <mergeCell ref="A8:A9"/>
    <mergeCell ref="B8:B9"/>
    <mergeCell ref="D8:P8"/>
    <mergeCell ref="Q7:R7"/>
  </mergeCells>
  <pageMargins left="0.25" right="0.25" top="0.75" bottom="0.75" header="0.3" footer="0.3"/>
  <pageSetup paperSize="9" scale="9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T31"/>
  <sheetViews>
    <sheetView workbookViewId="0">
      <selection activeCell="C26" sqref="C26:P26"/>
    </sheetView>
  </sheetViews>
  <sheetFormatPr defaultRowHeight="15"/>
  <cols>
    <col min="1" max="1" width="12.42578125" customWidth="1"/>
    <col min="2" max="2" width="9.7109375" customWidth="1"/>
    <col min="3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8" customWidth="1"/>
    <col min="12" max="12" width="7.42578125" customWidth="1"/>
    <col min="13" max="13" width="7.85546875" customWidth="1"/>
    <col min="14" max="14" width="8.42578125" customWidth="1"/>
    <col min="15" max="15" width="6.42578125" customWidth="1"/>
    <col min="16" max="16" width="7.5703125" customWidth="1"/>
    <col min="17" max="17" width="9" customWidth="1"/>
    <col min="18" max="18" width="10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45</v>
      </c>
      <c r="N3" s="96"/>
      <c r="O3" s="96"/>
      <c r="P3" s="96"/>
      <c r="Q3" s="96"/>
      <c r="R3" s="96"/>
    </row>
    <row r="4" spans="1:20" ht="15.75" thickBot="1">
      <c r="A4" s="94" t="s">
        <v>14</v>
      </c>
      <c r="B4" s="95"/>
      <c r="C4" s="31"/>
      <c r="D4" s="1">
        <v>978</v>
      </c>
      <c r="E4" s="8" t="s">
        <v>27</v>
      </c>
      <c r="M4" s="97" t="s">
        <v>61</v>
      </c>
      <c r="N4" s="97"/>
      <c r="O4" s="97"/>
      <c r="P4" s="97"/>
      <c r="Q4" s="123">
        <v>102395.42</v>
      </c>
      <c r="R4" s="123"/>
    </row>
    <row r="5" spans="1:20" ht="15.75" thickBot="1">
      <c r="A5" s="94" t="s">
        <v>13</v>
      </c>
      <c r="B5" s="95"/>
      <c r="C5" s="31"/>
      <c r="D5" s="1">
        <v>2</v>
      </c>
      <c r="M5" s="97" t="s">
        <v>84</v>
      </c>
      <c r="N5" s="97"/>
      <c r="O5" s="97"/>
      <c r="P5" s="97"/>
      <c r="Q5" s="123">
        <v>49141.34</v>
      </c>
      <c r="R5" s="123"/>
    </row>
    <row r="6" spans="1:20" ht="15.75" thickBot="1">
      <c r="A6" s="94" t="s">
        <v>15</v>
      </c>
      <c r="B6" s="95"/>
      <c r="C6" s="31"/>
      <c r="D6" s="1">
        <v>19381.75</v>
      </c>
      <c r="M6" s="97" t="s">
        <v>62</v>
      </c>
      <c r="N6" s="97"/>
      <c r="O6" s="97"/>
      <c r="P6" s="97"/>
      <c r="Q6" s="123">
        <v>170453.25</v>
      </c>
      <c r="R6" s="123"/>
    </row>
    <row r="7" spans="1:20">
      <c r="M7" s="102" t="s">
        <v>64</v>
      </c>
      <c r="N7" s="102"/>
      <c r="O7" s="97"/>
      <c r="P7" s="97"/>
      <c r="Q7" s="106">
        <f>Q4+Q5-Q6</f>
        <v>-18916.489999999991</v>
      </c>
      <c r="R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9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21229.15</v>
      </c>
      <c r="C11" s="15"/>
      <c r="D11" s="3">
        <f>D10*978</f>
        <v>2885.1000000000004</v>
      </c>
      <c r="E11" s="3">
        <f t="shared" ref="E11:O11" si="0">E10*978</f>
        <v>1075.8000000000002</v>
      </c>
      <c r="F11" s="3">
        <f t="shared" si="0"/>
        <v>489</v>
      </c>
      <c r="G11" s="3"/>
      <c r="H11" s="3"/>
      <c r="I11" s="3">
        <f t="shared" si="0"/>
        <v>489</v>
      </c>
      <c r="J11" s="3">
        <f t="shared" si="0"/>
        <v>293.39999999999998</v>
      </c>
      <c r="K11" s="3"/>
      <c r="L11" s="3"/>
      <c r="M11" s="3">
        <f t="shared" si="0"/>
        <v>440.1</v>
      </c>
      <c r="N11" s="3">
        <v>1754.68</v>
      </c>
      <c r="O11" s="3">
        <f t="shared" si="0"/>
        <v>1623.48</v>
      </c>
      <c r="P11" s="3">
        <v>9628.9500000000007</v>
      </c>
      <c r="Q11" s="3">
        <f t="shared" ref="Q11:Q16" si="1">SUM(D11:P11)</f>
        <v>18679.510000000002</v>
      </c>
      <c r="R11" s="3">
        <f>D6+B11-Q11</f>
        <v>21931.39</v>
      </c>
    </row>
    <row r="12" spans="1:20">
      <c r="A12" s="3" t="s">
        <v>1</v>
      </c>
      <c r="B12" s="5">
        <v>22569.87</v>
      </c>
      <c r="C12" s="15"/>
      <c r="D12" s="3">
        <v>2885.1000000000004</v>
      </c>
      <c r="E12" s="3">
        <v>1075.8000000000002</v>
      </c>
      <c r="F12" s="3">
        <v>489</v>
      </c>
      <c r="G12" s="3"/>
      <c r="H12" s="3"/>
      <c r="I12" s="3">
        <v>489</v>
      </c>
      <c r="J12" s="3">
        <v>293.39999999999998</v>
      </c>
      <c r="K12" s="3"/>
      <c r="L12" s="3"/>
      <c r="M12" s="3">
        <v>440.1</v>
      </c>
      <c r="N12" s="3">
        <v>2434.4899999999998</v>
      </c>
      <c r="O12" s="3">
        <v>1623.48</v>
      </c>
      <c r="P12" s="3">
        <v>10047.6</v>
      </c>
      <c r="Q12" s="3">
        <f t="shared" si="1"/>
        <v>19777.97</v>
      </c>
      <c r="R12" s="3">
        <f>R11+B12-Q12</f>
        <v>24723.289999999994</v>
      </c>
    </row>
    <row r="13" spans="1:20">
      <c r="A13" s="3" t="s">
        <v>2</v>
      </c>
      <c r="B13" s="5">
        <v>20425.22</v>
      </c>
      <c r="C13" s="15"/>
      <c r="D13" s="3">
        <v>2885.1000000000004</v>
      </c>
      <c r="E13" s="3">
        <v>1075.8000000000002</v>
      </c>
      <c r="F13" s="3">
        <v>489</v>
      </c>
      <c r="G13" s="3">
        <v>6568.99</v>
      </c>
      <c r="H13" s="3"/>
      <c r="I13" s="3">
        <v>489</v>
      </c>
      <c r="J13" s="3">
        <v>293.39999999999998</v>
      </c>
      <c r="K13" s="3"/>
      <c r="L13" s="3"/>
      <c r="M13" s="3">
        <v>440.1</v>
      </c>
      <c r="N13" s="3">
        <v>2480.84</v>
      </c>
      <c r="O13" s="3">
        <v>1623.48</v>
      </c>
      <c r="P13" s="3">
        <v>10466.25</v>
      </c>
      <c r="Q13" s="3">
        <f t="shared" si="1"/>
        <v>26811.96</v>
      </c>
      <c r="R13" s="3">
        <f>R12+B13-Q13</f>
        <v>18336.549999999996</v>
      </c>
    </row>
    <row r="14" spans="1:20">
      <c r="A14" s="3" t="s">
        <v>3</v>
      </c>
      <c r="B14" s="5">
        <v>21061.9</v>
      </c>
      <c r="C14" s="15"/>
      <c r="D14" s="3">
        <v>2885.1000000000004</v>
      </c>
      <c r="E14" s="3">
        <v>1075.8000000000002</v>
      </c>
      <c r="F14" s="3">
        <v>489</v>
      </c>
      <c r="G14" s="3">
        <v>1447</v>
      </c>
      <c r="H14" s="3">
        <v>3960</v>
      </c>
      <c r="I14" s="3">
        <v>489</v>
      </c>
      <c r="J14" s="3">
        <v>293.39999999999998</v>
      </c>
      <c r="K14" s="3"/>
      <c r="L14" s="3"/>
      <c r="M14" s="3">
        <v>440.1</v>
      </c>
      <c r="N14" s="3">
        <v>1930.74</v>
      </c>
      <c r="O14" s="3">
        <v>1623.48</v>
      </c>
      <c r="P14" s="3">
        <v>9628.9500000000007</v>
      </c>
      <c r="Q14" s="3">
        <f t="shared" si="1"/>
        <v>24262.57</v>
      </c>
      <c r="R14" s="3">
        <f>R13+B14-Q14</f>
        <v>15135.879999999997</v>
      </c>
    </row>
    <row r="15" spans="1:20">
      <c r="A15" s="3" t="s">
        <v>4</v>
      </c>
      <c r="B15" s="5">
        <v>18444.990000000002</v>
      </c>
      <c r="C15" s="15"/>
      <c r="D15" s="3">
        <v>2885.1000000000004</v>
      </c>
      <c r="E15" s="3">
        <v>1075.8000000000002</v>
      </c>
      <c r="F15" s="3">
        <v>489</v>
      </c>
      <c r="G15" s="3"/>
      <c r="H15" s="3"/>
      <c r="I15" s="3">
        <v>489</v>
      </c>
      <c r="J15" s="3">
        <v>293.39999999999998</v>
      </c>
      <c r="K15" s="15"/>
      <c r="L15" s="57">
        <v>1236.19</v>
      </c>
      <c r="M15" s="3">
        <v>440.1</v>
      </c>
      <c r="N15" s="3">
        <v>3613.44</v>
      </c>
      <c r="O15" s="3">
        <v>1623.48</v>
      </c>
      <c r="P15" s="3">
        <v>13396.8</v>
      </c>
      <c r="Q15" s="3">
        <f t="shared" si="1"/>
        <v>25542.309999999998</v>
      </c>
      <c r="R15" s="3">
        <f>R14+B15-Q15</f>
        <v>8038.5599999999977</v>
      </c>
    </row>
    <row r="16" spans="1:20">
      <c r="A16" s="3" t="s">
        <v>5</v>
      </c>
      <c r="B16" s="5">
        <v>38829.879999999997</v>
      </c>
      <c r="C16" s="15"/>
      <c r="D16" s="3">
        <v>2885.1000000000004</v>
      </c>
      <c r="E16" s="3">
        <v>1075.8000000000002</v>
      </c>
      <c r="F16" s="3">
        <v>489</v>
      </c>
      <c r="G16" s="3"/>
      <c r="H16" s="3"/>
      <c r="I16" s="3">
        <v>489</v>
      </c>
      <c r="J16" s="3">
        <v>293.39999999999998</v>
      </c>
      <c r="K16" s="3"/>
      <c r="L16" s="3"/>
      <c r="M16" s="3">
        <v>440.1</v>
      </c>
      <c r="N16" s="57">
        <v>20121.36</v>
      </c>
      <c r="O16" s="3">
        <v>1623.48</v>
      </c>
      <c r="P16" s="3">
        <v>18420.599999999999</v>
      </c>
      <c r="Q16" s="3">
        <f t="shared" si="1"/>
        <v>45837.84</v>
      </c>
      <c r="R16" s="3">
        <f>R15+B16-Q16</f>
        <v>1030.5999999999985</v>
      </c>
    </row>
    <row r="17" spans="1:18" s="45" customFormat="1">
      <c r="A17" s="6" t="s">
        <v>81</v>
      </c>
      <c r="B17" s="10">
        <f>SUM(B11:B16)</f>
        <v>142561.01</v>
      </c>
      <c r="C17" s="10">
        <f t="shared" ref="C17:Q17" si="2">SUM(C11:C16)</f>
        <v>0</v>
      </c>
      <c r="D17" s="10">
        <f t="shared" si="2"/>
        <v>17310.600000000002</v>
      </c>
      <c r="E17" s="10">
        <f t="shared" si="2"/>
        <v>6454.8000000000011</v>
      </c>
      <c r="F17" s="10">
        <f t="shared" si="2"/>
        <v>2934</v>
      </c>
      <c r="G17" s="10">
        <f t="shared" si="2"/>
        <v>8015.99</v>
      </c>
      <c r="H17" s="10">
        <f t="shared" si="2"/>
        <v>3960</v>
      </c>
      <c r="I17" s="10">
        <f t="shared" si="2"/>
        <v>2934</v>
      </c>
      <c r="J17" s="10">
        <f t="shared" si="2"/>
        <v>1760.4</v>
      </c>
      <c r="K17" s="10">
        <f t="shared" si="2"/>
        <v>0</v>
      </c>
      <c r="L17" s="10">
        <f t="shared" si="2"/>
        <v>1236.19</v>
      </c>
      <c r="M17" s="10">
        <f t="shared" si="2"/>
        <v>2640.6</v>
      </c>
      <c r="N17" s="10">
        <f t="shared" si="2"/>
        <v>32335.550000000003</v>
      </c>
      <c r="O17" s="10">
        <f t="shared" si="2"/>
        <v>9740.8799999999992</v>
      </c>
      <c r="P17" s="10">
        <f t="shared" si="2"/>
        <v>71589.149999999994</v>
      </c>
      <c r="Q17" s="10">
        <f t="shared" si="2"/>
        <v>160912.16</v>
      </c>
      <c r="R17" s="6"/>
    </row>
    <row r="18" spans="1:18" s="43" customFormat="1">
      <c r="A18" s="41">
        <v>42.2</v>
      </c>
      <c r="B18" s="41"/>
      <c r="C18" s="41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1">
        <v>1.81</v>
      </c>
      <c r="P18" s="41">
        <v>25.63</v>
      </c>
      <c r="Q18" s="41"/>
      <c r="R18" s="6">
        <f>R16+B18-Q18</f>
        <v>1030.5999999999985</v>
      </c>
    </row>
    <row r="19" spans="1:18">
      <c r="A19" s="3" t="s">
        <v>6</v>
      </c>
      <c r="B19" s="5">
        <v>23050.27</v>
      </c>
      <c r="C19" s="15">
        <f t="shared" ref="C19:C24" si="3">B19*2.5/100</f>
        <v>576.25675000000001</v>
      </c>
      <c r="D19" s="3">
        <f>D18*978</f>
        <v>2591.6999999999998</v>
      </c>
      <c r="E19" s="3">
        <f t="shared" ref="E19:O19" si="4">E18*978</f>
        <v>880.2</v>
      </c>
      <c r="F19" s="3">
        <f t="shared" si="4"/>
        <v>489</v>
      </c>
      <c r="G19" s="3"/>
      <c r="H19" s="3"/>
      <c r="I19" s="3">
        <f t="shared" si="4"/>
        <v>391.20000000000005</v>
      </c>
      <c r="J19" s="3">
        <f t="shared" si="4"/>
        <v>293.39999999999998</v>
      </c>
      <c r="K19" s="3">
        <f t="shared" si="4"/>
        <v>107.58</v>
      </c>
      <c r="L19" s="3"/>
      <c r="M19" s="3">
        <f t="shared" si="4"/>
        <v>929.09999999999991</v>
      </c>
      <c r="N19" s="74">
        <v>955.15</v>
      </c>
      <c r="O19" s="3">
        <f t="shared" si="4"/>
        <v>1770.18</v>
      </c>
      <c r="P19" s="3">
        <v>18420.599999999999</v>
      </c>
      <c r="Q19" s="3">
        <f>SUM(C19:P19)</f>
        <v>27404.366749999997</v>
      </c>
      <c r="R19" s="3">
        <f t="shared" ref="R19:R24" si="5">R18+B19-Q19</f>
        <v>-3323.4967499999984</v>
      </c>
    </row>
    <row r="20" spans="1:18">
      <c r="A20" s="3" t="s">
        <v>7</v>
      </c>
      <c r="B20" s="5">
        <v>24668.03</v>
      </c>
      <c r="C20" s="15">
        <f t="shared" si="3"/>
        <v>616.70074999999997</v>
      </c>
      <c r="D20" s="3">
        <v>2591.6999999999998</v>
      </c>
      <c r="E20" s="3">
        <v>880.2</v>
      </c>
      <c r="F20" s="3">
        <v>489</v>
      </c>
      <c r="G20" s="3"/>
      <c r="H20" s="3"/>
      <c r="I20" s="3">
        <v>391.20000000000005</v>
      </c>
      <c r="J20" s="3">
        <v>293.39999999999998</v>
      </c>
      <c r="K20" s="3">
        <v>107.58</v>
      </c>
      <c r="L20" s="3"/>
      <c r="M20" s="3">
        <v>929.09999999999991</v>
      </c>
      <c r="N20" s="74">
        <v>4179.38</v>
      </c>
      <c r="O20" s="3">
        <v>1770.18</v>
      </c>
      <c r="P20" s="3">
        <v>20513.849999999999</v>
      </c>
      <c r="Q20" s="3">
        <f t="shared" ref="Q20:Q24" si="6">SUM(C20:P20)</f>
        <v>32762.290749999996</v>
      </c>
      <c r="R20" s="3">
        <f t="shared" si="5"/>
        <v>-11417.757499999996</v>
      </c>
    </row>
    <row r="21" spans="1:18">
      <c r="A21" s="3" t="s">
        <v>8</v>
      </c>
      <c r="B21" s="5">
        <v>26606.47</v>
      </c>
      <c r="C21" s="15">
        <f t="shared" si="3"/>
        <v>665.16174999999998</v>
      </c>
      <c r="D21" s="3">
        <v>2591.6999999999998</v>
      </c>
      <c r="E21" s="3">
        <v>880.2</v>
      </c>
      <c r="F21" s="3">
        <v>489</v>
      </c>
      <c r="G21" s="3"/>
      <c r="H21" s="3"/>
      <c r="I21" s="3">
        <v>391.20000000000005</v>
      </c>
      <c r="J21" s="3">
        <v>293.39999999999998</v>
      </c>
      <c r="K21" s="3">
        <v>107.58</v>
      </c>
      <c r="L21" s="3"/>
      <c r="M21" s="3">
        <v>929.09999999999991</v>
      </c>
      <c r="N21" s="3">
        <v>650.71</v>
      </c>
      <c r="O21" s="3">
        <v>1770.18</v>
      </c>
      <c r="P21" s="3">
        <v>16327.35</v>
      </c>
      <c r="Q21" s="3">
        <f t="shared" si="6"/>
        <v>25095.581749999998</v>
      </c>
      <c r="R21" s="3">
        <f t="shared" si="5"/>
        <v>-9906.8692499999925</v>
      </c>
    </row>
    <row r="22" spans="1:18">
      <c r="A22" s="3" t="s">
        <v>9</v>
      </c>
      <c r="B22" s="5">
        <v>24344.69</v>
      </c>
      <c r="C22" s="15">
        <f t="shared" si="3"/>
        <v>608.61725000000001</v>
      </c>
      <c r="D22" s="3">
        <v>2591.6999999999998</v>
      </c>
      <c r="E22" s="3">
        <v>880.2</v>
      </c>
      <c r="F22" s="3">
        <v>489</v>
      </c>
      <c r="G22" s="3"/>
      <c r="H22" s="3"/>
      <c r="I22" s="3">
        <v>391.20000000000005</v>
      </c>
      <c r="J22" s="3">
        <v>293.39999999999998</v>
      </c>
      <c r="K22" s="3">
        <v>107.58</v>
      </c>
      <c r="L22" s="3"/>
      <c r="M22" s="3">
        <v>929.09999999999991</v>
      </c>
      <c r="N22" s="15">
        <v>2363.62</v>
      </c>
      <c r="O22" s="3">
        <f>D4*2.16</f>
        <v>2112.48</v>
      </c>
      <c r="P22" s="3">
        <v>20095.2</v>
      </c>
      <c r="Q22" s="3">
        <f t="shared" si="6"/>
        <v>30862.097249999999</v>
      </c>
      <c r="R22" s="3">
        <f t="shared" si="5"/>
        <v>-16424.276499999993</v>
      </c>
    </row>
    <row r="23" spans="1:18">
      <c r="A23" s="3" t="s">
        <v>10</v>
      </c>
      <c r="B23" s="5">
        <v>26829.61</v>
      </c>
      <c r="C23" s="15">
        <f t="shared" si="3"/>
        <v>670.74024999999995</v>
      </c>
      <c r="D23" s="3">
        <v>2591.6999999999998</v>
      </c>
      <c r="E23" s="3">
        <v>880.2</v>
      </c>
      <c r="F23" s="3">
        <v>489</v>
      </c>
      <c r="G23" s="3"/>
      <c r="H23" s="3"/>
      <c r="I23" s="3">
        <v>391.20000000000005</v>
      </c>
      <c r="J23" s="3">
        <v>293.39999999999998</v>
      </c>
      <c r="K23" s="3">
        <v>107.58</v>
      </c>
      <c r="L23" s="3"/>
      <c r="M23" s="3">
        <v>929.09999999999991</v>
      </c>
      <c r="N23" s="3">
        <v>508.72</v>
      </c>
      <c r="O23" s="3">
        <f>O22</f>
        <v>2112.48</v>
      </c>
      <c r="P23" s="3">
        <v>20095.2</v>
      </c>
      <c r="Q23" s="3">
        <f t="shared" si="6"/>
        <v>29069.320250000001</v>
      </c>
      <c r="R23" s="3">
        <f t="shared" si="5"/>
        <v>-18663.986749999993</v>
      </c>
    </row>
    <row r="24" spans="1:18">
      <c r="A24" s="3" t="s">
        <v>11</v>
      </c>
      <c r="B24" s="5">
        <v>20457.89</v>
      </c>
      <c r="C24" s="15">
        <f t="shared" si="3"/>
        <v>511.44725</v>
      </c>
      <c r="D24" s="3">
        <v>2591.6999999999998</v>
      </c>
      <c r="E24" s="3">
        <v>880.2</v>
      </c>
      <c r="F24" s="3">
        <v>489</v>
      </c>
      <c r="G24" s="3"/>
      <c r="H24" s="3">
        <v>1600</v>
      </c>
      <c r="I24" s="3">
        <v>391.20000000000005</v>
      </c>
      <c r="J24" s="3">
        <v>293.39999999999998</v>
      </c>
      <c r="K24" s="3">
        <v>107.58</v>
      </c>
      <c r="L24" s="3"/>
      <c r="M24" s="3">
        <v>929.09999999999991</v>
      </c>
      <c r="N24" s="3">
        <v>3687.13</v>
      </c>
      <c r="O24" s="3">
        <f>O23</f>
        <v>2112.48</v>
      </c>
      <c r="P24" s="3">
        <v>18839.25</v>
      </c>
      <c r="Q24" s="3">
        <f t="shared" si="6"/>
        <v>32432.487249999998</v>
      </c>
      <c r="R24" s="3">
        <f t="shared" si="5"/>
        <v>-30638.583999999992</v>
      </c>
    </row>
    <row r="25" spans="1:18" s="45" customFormat="1">
      <c r="A25" s="6" t="s">
        <v>82</v>
      </c>
      <c r="B25" s="10">
        <f>SUM(B19:B24)</f>
        <v>145956.96000000002</v>
      </c>
      <c r="C25" s="10">
        <f t="shared" ref="C25:Q25" si="7">SUM(C19:C24)</f>
        <v>3648.924</v>
      </c>
      <c r="D25" s="10">
        <f t="shared" si="7"/>
        <v>15550.2</v>
      </c>
      <c r="E25" s="10">
        <f t="shared" si="7"/>
        <v>5281.2</v>
      </c>
      <c r="F25" s="10">
        <f t="shared" si="7"/>
        <v>2934</v>
      </c>
      <c r="G25" s="10">
        <f t="shared" si="7"/>
        <v>0</v>
      </c>
      <c r="H25" s="10">
        <f t="shared" si="7"/>
        <v>1600</v>
      </c>
      <c r="I25" s="10">
        <f t="shared" si="7"/>
        <v>2347.2000000000003</v>
      </c>
      <c r="J25" s="10">
        <f t="shared" si="7"/>
        <v>1760.4</v>
      </c>
      <c r="K25" s="10">
        <f t="shared" si="7"/>
        <v>645.48</v>
      </c>
      <c r="L25" s="10">
        <f t="shared" si="7"/>
        <v>0</v>
      </c>
      <c r="M25" s="10">
        <f t="shared" si="7"/>
        <v>5574.6</v>
      </c>
      <c r="N25" s="10">
        <f t="shared" si="7"/>
        <v>12344.71</v>
      </c>
      <c r="O25" s="10">
        <f t="shared" si="7"/>
        <v>11647.98</v>
      </c>
      <c r="P25" s="10">
        <f t="shared" si="7"/>
        <v>114291.45</v>
      </c>
      <c r="Q25" s="10">
        <f t="shared" si="7"/>
        <v>177626.14399999997</v>
      </c>
      <c r="R25" s="6"/>
    </row>
    <row r="26" spans="1:18" s="47" customFormat="1">
      <c r="A26" s="46" t="s">
        <v>51</v>
      </c>
      <c r="B26" s="46">
        <f>B17+B25</f>
        <v>288517.97000000003</v>
      </c>
      <c r="C26" s="46">
        <f t="shared" ref="C26:Q26" si="8">C17+C25</f>
        <v>3648.924</v>
      </c>
      <c r="D26" s="46">
        <f t="shared" si="8"/>
        <v>32860.800000000003</v>
      </c>
      <c r="E26" s="46">
        <f t="shared" si="8"/>
        <v>11736</v>
      </c>
      <c r="F26" s="46">
        <f t="shared" si="8"/>
        <v>5868</v>
      </c>
      <c r="G26" s="46">
        <f t="shared" si="8"/>
        <v>8015.99</v>
      </c>
      <c r="H26" s="46">
        <f t="shared" si="8"/>
        <v>5560</v>
      </c>
      <c r="I26" s="46">
        <f t="shared" si="8"/>
        <v>5281.2000000000007</v>
      </c>
      <c r="J26" s="46">
        <f t="shared" si="8"/>
        <v>3520.8</v>
      </c>
      <c r="K26" s="46">
        <f t="shared" si="8"/>
        <v>645.48</v>
      </c>
      <c r="L26" s="46">
        <f t="shared" si="8"/>
        <v>1236.19</v>
      </c>
      <c r="M26" s="46">
        <f t="shared" si="8"/>
        <v>8215.2000000000007</v>
      </c>
      <c r="N26" s="46">
        <f t="shared" si="8"/>
        <v>44680.26</v>
      </c>
      <c r="O26" s="46">
        <f t="shared" si="8"/>
        <v>21388.86</v>
      </c>
      <c r="P26" s="46">
        <f t="shared" si="8"/>
        <v>185880.59999999998</v>
      </c>
      <c r="Q26" s="46">
        <f t="shared" si="8"/>
        <v>338538.304</v>
      </c>
      <c r="R26" s="46">
        <f>D6+B26-Q26</f>
        <v>-30638.583999999973</v>
      </c>
    </row>
    <row r="28" spans="1:18">
      <c r="A28" s="102" t="s">
        <v>56</v>
      </c>
      <c r="B28" s="102"/>
      <c r="C28" s="102"/>
      <c r="D28" s="102"/>
      <c r="E28" s="57">
        <v>1236.19</v>
      </c>
    </row>
    <row r="29" spans="1:18">
      <c r="A29" s="102" t="s">
        <v>71</v>
      </c>
      <c r="B29" s="102"/>
      <c r="C29" s="102"/>
      <c r="D29" s="102"/>
      <c r="E29" s="3">
        <v>154107</v>
      </c>
    </row>
    <row r="30" spans="1:18">
      <c r="A30" s="3" t="s">
        <v>76</v>
      </c>
      <c r="B30" s="3"/>
      <c r="C30" s="3"/>
      <c r="D30" s="3"/>
      <c r="E30" s="57">
        <v>19381.75</v>
      </c>
    </row>
    <row r="31" spans="1:18">
      <c r="A31" s="3" t="s">
        <v>85</v>
      </c>
      <c r="B31" s="3"/>
      <c r="C31" s="3"/>
      <c r="D31" s="3"/>
      <c r="E31" s="57">
        <v>35728</v>
      </c>
    </row>
  </sheetData>
  <mergeCells count="23">
    <mergeCell ref="A1:R1"/>
    <mergeCell ref="A3:B3"/>
    <mergeCell ref="D3:E3"/>
    <mergeCell ref="F3:G3"/>
    <mergeCell ref="A4:B4"/>
    <mergeCell ref="N3:R3"/>
    <mergeCell ref="Q4:R4"/>
    <mergeCell ref="A28:D28"/>
    <mergeCell ref="A29:D29"/>
    <mergeCell ref="Q8:Q9"/>
    <mergeCell ref="R8:R9"/>
    <mergeCell ref="M4:P4"/>
    <mergeCell ref="M5:P5"/>
    <mergeCell ref="M6:P6"/>
    <mergeCell ref="M7:P7"/>
    <mergeCell ref="A5:B5"/>
    <mergeCell ref="Q5:R5"/>
    <mergeCell ref="Q6:R6"/>
    <mergeCell ref="A6:B6"/>
    <mergeCell ref="A8:A9"/>
    <mergeCell ref="B8:B9"/>
    <mergeCell ref="D8:P8"/>
    <mergeCell ref="Q7:R7"/>
  </mergeCells>
  <pageMargins left="0.25" right="0.25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T30"/>
  <sheetViews>
    <sheetView workbookViewId="0">
      <selection activeCell="P29" sqref="P29"/>
    </sheetView>
  </sheetViews>
  <sheetFormatPr defaultRowHeight="15"/>
  <cols>
    <col min="1" max="1" width="13.7109375" customWidth="1"/>
    <col min="2" max="2" width="10.7109375" customWidth="1"/>
    <col min="3" max="3" width="8.42578125" customWidth="1"/>
    <col min="4" max="4" width="10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9.5703125" customWidth="1"/>
    <col min="15" max="15" width="8.140625" customWidth="1"/>
    <col min="16" max="16" width="7.5703125" customWidth="1"/>
    <col min="17" max="17" width="8.5703125" customWidth="1"/>
    <col min="18" max="18" width="9.855468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46</v>
      </c>
      <c r="N3" s="96"/>
      <c r="O3" s="96"/>
      <c r="P3" s="96"/>
      <c r="Q3" s="96"/>
      <c r="R3" s="96"/>
    </row>
    <row r="4" spans="1:20" ht="15.75" thickBot="1">
      <c r="A4" s="94" t="s">
        <v>14</v>
      </c>
      <c r="B4" s="95"/>
      <c r="C4" s="31"/>
      <c r="D4" s="1">
        <v>128.5</v>
      </c>
      <c r="E4" s="8" t="s">
        <v>27</v>
      </c>
      <c r="M4" s="97" t="s">
        <v>61</v>
      </c>
      <c r="N4" s="97"/>
      <c r="O4" s="97"/>
      <c r="P4" s="97"/>
      <c r="Q4" s="123">
        <v>-2235.21</v>
      </c>
      <c r="R4" s="123"/>
    </row>
    <row r="5" spans="1:20" ht="15.75" thickBot="1">
      <c r="A5" s="94" t="s">
        <v>13</v>
      </c>
      <c r="B5" s="95"/>
      <c r="C5" s="31"/>
      <c r="D5" s="1">
        <v>3</v>
      </c>
      <c r="M5" s="97" t="s">
        <v>84</v>
      </c>
      <c r="N5" s="97"/>
      <c r="O5" s="97"/>
      <c r="P5" s="97"/>
      <c r="Q5" s="123">
        <v>6146.78</v>
      </c>
      <c r="R5" s="123"/>
    </row>
    <row r="6" spans="1:20" ht="15.75" thickBot="1">
      <c r="A6" s="94" t="s">
        <v>15</v>
      </c>
      <c r="B6" s="95"/>
      <c r="C6" s="31"/>
      <c r="D6" s="1">
        <v>-29836.63</v>
      </c>
      <c r="M6" s="97" t="s">
        <v>62</v>
      </c>
      <c r="N6" s="97"/>
      <c r="O6" s="97"/>
      <c r="P6" s="97"/>
      <c r="Q6" s="123"/>
      <c r="R6" s="123"/>
    </row>
    <row r="7" spans="1:20">
      <c r="M7" s="102" t="s">
        <v>64</v>
      </c>
      <c r="N7" s="102"/>
      <c r="O7" s="97"/>
      <c r="P7" s="97"/>
      <c r="Q7" s="106">
        <f>SUM(Q4:R6)</f>
        <v>3911.5699999999997</v>
      </c>
      <c r="R7" s="10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12.41</v>
      </c>
      <c r="B10" s="10"/>
      <c r="C10" s="20"/>
      <c r="D10" s="6">
        <v>2.95</v>
      </c>
      <c r="E10" s="6">
        <v>1</v>
      </c>
      <c r="F10" s="6">
        <v>0.31</v>
      </c>
      <c r="G10" s="6">
        <v>0.43</v>
      </c>
      <c r="H10" s="6">
        <v>0.21</v>
      </c>
      <c r="I10" s="6">
        <v>0.5</v>
      </c>
      <c r="J10" s="6">
        <v>0.3</v>
      </c>
      <c r="K10" s="6"/>
      <c r="L10" s="6">
        <v>0.1</v>
      </c>
      <c r="M10" s="6">
        <v>0.45</v>
      </c>
      <c r="N10" s="69">
        <v>4.5</v>
      </c>
      <c r="O10" s="4">
        <v>1.66</v>
      </c>
      <c r="P10" s="4"/>
      <c r="Q10" s="3"/>
      <c r="R10" s="3"/>
    </row>
    <row r="11" spans="1:20">
      <c r="A11" s="3" t="s">
        <v>0</v>
      </c>
      <c r="B11" s="5">
        <v>1254.98</v>
      </c>
      <c r="C11" s="15"/>
      <c r="D11" s="11">
        <f>D10*128.5</f>
        <v>379.07500000000005</v>
      </c>
      <c r="E11" s="11">
        <f t="shared" ref="E11:J11" si="0">E10*128.5</f>
        <v>128.5</v>
      </c>
      <c r="F11" s="11">
        <f t="shared" si="0"/>
        <v>39.835000000000001</v>
      </c>
      <c r="G11" s="11"/>
      <c r="H11" s="11"/>
      <c r="I11" s="11">
        <f t="shared" si="0"/>
        <v>64.25</v>
      </c>
      <c r="J11" s="11">
        <f t="shared" si="0"/>
        <v>38.549999999999997</v>
      </c>
      <c r="K11" s="11"/>
      <c r="L11" s="11">
        <v>160</v>
      </c>
      <c r="M11" s="11">
        <f t="shared" ref="M11" si="1">M10*128.3</f>
        <v>57.735000000000007</v>
      </c>
      <c r="N11" s="11">
        <v>960.15</v>
      </c>
      <c r="O11" s="11">
        <f>O10*128.5</f>
        <v>213.31</v>
      </c>
      <c r="P11" s="3"/>
      <c r="Q11" s="3">
        <f t="shared" ref="Q11:Q16" si="2">SUM(D11:P11)</f>
        <v>2041.405</v>
      </c>
      <c r="R11" s="3">
        <f>D6+B11-Q11</f>
        <v>-30623.055</v>
      </c>
    </row>
    <row r="12" spans="1:20">
      <c r="A12" s="3" t="s">
        <v>1</v>
      </c>
      <c r="B12" s="5">
        <v>971.7</v>
      </c>
      <c r="C12" s="15"/>
      <c r="D12" s="11">
        <v>379.07500000000005</v>
      </c>
      <c r="E12" s="11">
        <v>128.5</v>
      </c>
      <c r="F12" s="11">
        <v>39.835000000000001</v>
      </c>
      <c r="G12" s="11"/>
      <c r="H12" s="11"/>
      <c r="I12" s="3">
        <v>64.25</v>
      </c>
      <c r="J12" s="3">
        <v>38.549999999999997</v>
      </c>
      <c r="K12" s="3"/>
      <c r="L12" s="3">
        <v>225</v>
      </c>
      <c r="M12" s="3">
        <v>57.735000000000007</v>
      </c>
      <c r="N12" s="11">
        <v>742.6</v>
      </c>
      <c r="O12" s="3">
        <v>213.31</v>
      </c>
      <c r="P12" s="3"/>
      <c r="Q12" s="3">
        <f t="shared" si="2"/>
        <v>1888.855</v>
      </c>
      <c r="R12" s="3">
        <f>R11+B12-Q12</f>
        <v>-31540.21</v>
      </c>
    </row>
    <row r="13" spans="1:20">
      <c r="A13" s="3" t="s">
        <v>2</v>
      </c>
      <c r="B13" s="5">
        <v>1428.72</v>
      </c>
      <c r="C13" s="15"/>
      <c r="D13" s="11">
        <v>379.07500000000005</v>
      </c>
      <c r="E13" s="11">
        <v>128.5</v>
      </c>
      <c r="F13" s="11">
        <v>39.835000000000001</v>
      </c>
      <c r="G13" s="3"/>
      <c r="H13" s="3"/>
      <c r="I13" s="3">
        <v>64.25</v>
      </c>
      <c r="J13" s="3">
        <v>38.549999999999997</v>
      </c>
      <c r="K13" s="3"/>
      <c r="L13" s="3"/>
      <c r="M13" s="3">
        <v>57.735000000000007</v>
      </c>
      <c r="N13" s="3"/>
      <c r="O13" s="3">
        <v>213.31</v>
      </c>
      <c r="P13" s="3"/>
      <c r="Q13" s="3">
        <f t="shared" si="2"/>
        <v>921.25500000000011</v>
      </c>
      <c r="R13" s="3">
        <f>R12+B13-Q13</f>
        <v>-31032.744999999999</v>
      </c>
    </row>
    <row r="14" spans="1:20">
      <c r="A14" s="3" t="s">
        <v>3</v>
      </c>
      <c r="B14" s="5">
        <v>1081.24</v>
      </c>
      <c r="C14" s="15"/>
      <c r="D14" s="11">
        <v>379.07500000000005</v>
      </c>
      <c r="E14" s="11">
        <v>128.5</v>
      </c>
      <c r="F14" s="11">
        <v>39.835000000000001</v>
      </c>
      <c r="G14" s="3"/>
      <c r="H14" s="3"/>
      <c r="I14" s="3">
        <v>64.25</v>
      </c>
      <c r="J14" s="3">
        <v>38.549999999999997</v>
      </c>
      <c r="K14" s="3"/>
      <c r="L14" s="3"/>
      <c r="M14" s="3">
        <v>57.735000000000007</v>
      </c>
      <c r="N14" s="3"/>
      <c r="O14" s="3">
        <v>213.31</v>
      </c>
      <c r="P14" s="3"/>
      <c r="Q14" s="3">
        <f t="shared" si="2"/>
        <v>921.25500000000011</v>
      </c>
      <c r="R14" s="3">
        <f>R13+B14-Q14</f>
        <v>-30872.76</v>
      </c>
    </row>
    <row r="15" spans="1:20">
      <c r="A15" s="3" t="s">
        <v>4</v>
      </c>
      <c r="B15" s="5">
        <v>3754.24</v>
      </c>
      <c r="C15" s="15"/>
      <c r="D15" s="11">
        <v>379.07500000000005</v>
      </c>
      <c r="E15" s="11">
        <v>128.5</v>
      </c>
      <c r="F15" s="11">
        <v>39.835000000000001</v>
      </c>
      <c r="G15" s="3"/>
      <c r="H15" s="3"/>
      <c r="I15" s="3">
        <v>64.25</v>
      </c>
      <c r="J15" s="3">
        <v>38.549999999999997</v>
      </c>
      <c r="K15" s="3"/>
      <c r="L15" s="3">
        <v>162.41999999999999</v>
      </c>
      <c r="M15" s="3">
        <v>57.735000000000007</v>
      </c>
      <c r="N15" s="3"/>
      <c r="O15" s="3">
        <v>213.31</v>
      </c>
      <c r="P15" s="3"/>
      <c r="Q15" s="3">
        <f t="shared" si="2"/>
        <v>1083.675</v>
      </c>
      <c r="R15" s="3">
        <f>R14+B15-Q15</f>
        <v>-28202.194999999996</v>
      </c>
    </row>
    <row r="16" spans="1:20">
      <c r="A16" s="3" t="s">
        <v>5</v>
      </c>
      <c r="B16" s="5">
        <v>4527.96</v>
      </c>
      <c r="C16" s="15"/>
      <c r="D16" s="11">
        <v>379.07500000000005</v>
      </c>
      <c r="E16" s="11">
        <v>128.5</v>
      </c>
      <c r="F16" s="11">
        <v>39.835000000000001</v>
      </c>
      <c r="G16" s="3"/>
      <c r="H16" s="3"/>
      <c r="I16" s="3">
        <v>64.25</v>
      </c>
      <c r="J16" s="3">
        <v>38.549999999999997</v>
      </c>
      <c r="K16" s="3"/>
      <c r="L16" s="3"/>
      <c r="M16" s="3">
        <v>57.735000000000007</v>
      </c>
      <c r="N16" s="3"/>
      <c r="O16" s="3">
        <v>213.31</v>
      </c>
      <c r="P16" s="3"/>
      <c r="Q16" s="3">
        <f t="shared" si="2"/>
        <v>921.25500000000011</v>
      </c>
      <c r="R16" s="3">
        <f>R15+B16-Q16</f>
        <v>-24595.489999999998</v>
      </c>
    </row>
    <row r="17" spans="1:18" s="45" customFormat="1">
      <c r="A17" s="6" t="s">
        <v>81</v>
      </c>
      <c r="B17" s="10">
        <f>SUM(B11:B16)</f>
        <v>13018.84</v>
      </c>
      <c r="C17" s="10">
        <f t="shared" ref="C17:Q17" si="3">SUM(C11:C16)</f>
        <v>0</v>
      </c>
      <c r="D17" s="10">
        <f t="shared" si="3"/>
        <v>2274.4500000000003</v>
      </c>
      <c r="E17" s="10">
        <f t="shared" si="3"/>
        <v>771</v>
      </c>
      <c r="F17" s="10">
        <f t="shared" si="3"/>
        <v>239.01000000000002</v>
      </c>
      <c r="G17" s="10">
        <f t="shared" si="3"/>
        <v>0</v>
      </c>
      <c r="H17" s="10">
        <f t="shared" si="3"/>
        <v>0</v>
      </c>
      <c r="I17" s="10">
        <f t="shared" si="3"/>
        <v>385.5</v>
      </c>
      <c r="J17" s="10">
        <f t="shared" si="3"/>
        <v>231.3</v>
      </c>
      <c r="K17" s="10">
        <f t="shared" si="3"/>
        <v>0</v>
      </c>
      <c r="L17" s="10">
        <f t="shared" si="3"/>
        <v>547.41999999999996</v>
      </c>
      <c r="M17" s="10">
        <f t="shared" si="3"/>
        <v>346.41</v>
      </c>
      <c r="N17" s="10">
        <f t="shared" si="3"/>
        <v>1702.75</v>
      </c>
      <c r="O17" s="10">
        <f t="shared" si="3"/>
        <v>1279.8599999999999</v>
      </c>
      <c r="P17" s="10">
        <f t="shared" si="3"/>
        <v>0</v>
      </c>
      <c r="Q17" s="10">
        <f t="shared" si="3"/>
        <v>7777.7000000000007</v>
      </c>
      <c r="R17" s="6"/>
    </row>
    <row r="18" spans="1:18" s="43" customFormat="1">
      <c r="A18" s="41">
        <v>14.27</v>
      </c>
      <c r="B18" s="41"/>
      <c r="C18" s="41">
        <v>0.17</v>
      </c>
      <c r="D18" s="42">
        <v>2.65</v>
      </c>
      <c r="E18" s="42">
        <v>0.9</v>
      </c>
      <c r="F18" s="42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/>
      <c r="M18" s="41">
        <v>0.95</v>
      </c>
      <c r="N18" s="55" t="s">
        <v>90</v>
      </c>
      <c r="O18" s="41">
        <v>1.81</v>
      </c>
      <c r="P18" s="41"/>
      <c r="Q18" s="41"/>
      <c r="R18" s="3">
        <f>R16+B18-Q18</f>
        <v>-24595.489999999998</v>
      </c>
    </row>
    <row r="19" spans="1:18">
      <c r="A19" s="3" t="s">
        <v>6</v>
      </c>
      <c r="B19" s="5">
        <v>6136.18</v>
      </c>
      <c r="C19" s="15">
        <f t="shared" ref="C19:C24" si="4">B19*2.5/100</f>
        <v>153.40450000000001</v>
      </c>
      <c r="D19" s="11">
        <f>D18*128.5</f>
        <v>340.52499999999998</v>
      </c>
      <c r="E19" s="11">
        <f t="shared" ref="E19:O19" si="5">E18*128.5</f>
        <v>115.65</v>
      </c>
      <c r="F19" s="11">
        <f t="shared" si="5"/>
        <v>64.25</v>
      </c>
      <c r="G19" s="11"/>
      <c r="H19" s="11"/>
      <c r="I19" s="11">
        <f t="shared" si="5"/>
        <v>51.400000000000006</v>
      </c>
      <c r="J19" s="11">
        <f t="shared" si="5"/>
        <v>38.549999999999997</v>
      </c>
      <c r="K19" s="11">
        <f t="shared" si="5"/>
        <v>14.135</v>
      </c>
      <c r="L19" s="11"/>
      <c r="M19" s="11">
        <f t="shared" si="5"/>
        <v>122.07499999999999</v>
      </c>
      <c r="N19" s="78">
        <v>2048.9699999999998</v>
      </c>
      <c r="O19" s="11">
        <f t="shared" si="5"/>
        <v>232.58500000000001</v>
      </c>
      <c r="P19" s="3"/>
      <c r="Q19" s="3">
        <f>SUM(C19:P19)</f>
        <v>3181.5445</v>
      </c>
      <c r="R19" s="3">
        <f t="shared" ref="R19:R24" si="6">R18+B19-Q19</f>
        <v>-21640.854499999998</v>
      </c>
    </row>
    <row r="20" spans="1:18">
      <c r="A20" s="3" t="s">
        <v>7</v>
      </c>
      <c r="B20" s="5">
        <v>1490.86</v>
      </c>
      <c r="C20" s="15">
        <f t="shared" si="4"/>
        <v>37.271499999999996</v>
      </c>
      <c r="D20" s="11">
        <v>340.52499999999998</v>
      </c>
      <c r="E20" s="11">
        <v>115.65</v>
      </c>
      <c r="F20" s="11">
        <v>64.25</v>
      </c>
      <c r="G20" s="11"/>
      <c r="H20" s="11"/>
      <c r="I20" s="11">
        <v>51.400000000000006</v>
      </c>
      <c r="J20" s="11">
        <v>38.549999999999997</v>
      </c>
      <c r="K20" s="11">
        <v>14.14</v>
      </c>
      <c r="L20" s="11"/>
      <c r="M20" s="11">
        <v>122.07499999999999</v>
      </c>
      <c r="N20" s="78">
        <v>151.4</v>
      </c>
      <c r="O20" s="11">
        <v>232.58500000000001</v>
      </c>
      <c r="P20" s="3"/>
      <c r="Q20" s="3">
        <f t="shared" ref="Q20:Q24" si="7">SUM(C20:P20)</f>
        <v>1167.8464999999999</v>
      </c>
      <c r="R20" s="3">
        <f t="shared" si="6"/>
        <v>-21317.840999999997</v>
      </c>
    </row>
    <row r="21" spans="1:18">
      <c r="A21" s="3" t="s">
        <v>8</v>
      </c>
      <c r="B21" s="5">
        <v>1317.12</v>
      </c>
      <c r="C21" s="15">
        <f t="shared" si="4"/>
        <v>32.927999999999997</v>
      </c>
      <c r="D21" s="11">
        <v>340.52499999999998</v>
      </c>
      <c r="E21" s="11">
        <v>115.65</v>
      </c>
      <c r="F21" s="11">
        <v>64.25</v>
      </c>
      <c r="G21" s="3"/>
      <c r="H21" s="3"/>
      <c r="I21" s="11">
        <v>51.400000000000006</v>
      </c>
      <c r="J21" s="11">
        <v>38.549999999999997</v>
      </c>
      <c r="K21" s="11">
        <v>14.14</v>
      </c>
      <c r="L21" s="11"/>
      <c r="M21" s="11">
        <v>122.07499999999999</v>
      </c>
      <c r="N21" s="3">
        <v>179.08</v>
      </c>
      <c r="O21" s="11">
        <v>232.58500000000001</v>
      </c>
      <c r="P21" s="3"/>
      <c r="Q21" s="3">
        <f t="shared" si="7"/>
        <v>1191.1829999999998</v>
      </c>
      <c r="R21" s="3">
        <f t="shared" si="6"/>
        <v>-21191.903999999999</v>
      </c>
    </row>
    <row r="22" spans="1:18">
      <c r="A22" s="3" t="s">
        <v>9</v>
      </c>
      <c r="B22" s="5">
        <v>1117.3399999999999</v>
      </c>
      <c r="C22" s="15">
        <f t="shared" si="4"/>
        <v>27.933499999999999</v>
      </c>
      <c r="D22" s="11">
        <v>340.52499999999998</v>
      </c>
      <c r="E22" s="11">
        <v>115.65</v>
      </c>
      <c r="F22" s="11">
        <v>64.25</v>
      </c>
      <c r="G22" s="3"/>
      <c r="H22" s="3"/>
      <c r="I22" s="11">
        <v>51.400000000000006</v>
      </c>
      <c r="J22" s="11">
        <v>38.549999999999997</v>
      </c>
      <c r="K22" s="11">
        <v>14.14</v>
      </c>
      <c r="L22" s="11"/>
      <c r="M22" s="11">
        <v>122.07499999999999</v>
      </c>
      <c r="N22" s="3">
        <v>543.65</v>
      </c>
      <c r="O22" s="3">
        <f>D4*2.16</f>
        <v>277.56</v>
      </c>
      <c r="P22" s="3"/>
      <c r="Q22" s="3">
        <f t="shared" si="7"/>
        <v>1595.7334999999998</v>
      </c>
      <c r="R22" s="3">
        <f t="shared" si="6"/>
        <v>-21670.297499999997</v>
      </c>
    </row>
    <row r="23" spans="1:18">
      <c r="A23" s="3" t="s">
        <v>10</v>
      </c>
      <c r="B23" s="5">
        <v>1117.3399999999999</v>
      </c>
      <c r="C23" s="15">
        <f t="shared" si="4"/>
        <v>27.933499999999999</v>
      </c>
      <c r="D23" s="11">
        <v>340.52499999999998</v>
      </c>
      <c r="E23" s="11">
        <v>115.65</v>
      </c>
      <c r="F23" s="11">
        <v>64.25</v>
      </c>
      <c r="G23" s="3"/>
      <c r="H23" s="3"/>
      <c r="I23" s="11">
        <v>51.400000000000006</v>
      </c>
      <c r="J23" s="11">
        <v>38.549999999999997</v>
      </c>
      <c r="K23" s="11">
        <v>14.14</v>
      </c>
      <c r="L23" s="11"/>
      <c r="M23" s="11">
        <v>122.07499999999999</v>
      </c>
      <c r="N23" s="3">
        <v>83.78</v>
      </c>
      <c r="O23" s="11">
        <f>O22</f>
        <v>277.56</v>
      </c>
      <c r="P23" s="3"/>
      <c r="Q23" s="3">
        <f t="shared" si="7"/>
        <v>1135.8634999999997</v>
      </c>
      <c r="R23" s="3">
        <f t="shared" si="6"/>
        <v>-21688.820999999996</v>
      </c>
    </row>
    <row r="24" spans="1:18">
      <c r="A24" s="3" t="s">
        <v>11</v>
      </c>
      <c r="B24" s="5">
        <v>1117.3399999999999</v>
      </c>
      <c r="C24" s="15">
        <f t="shared" si="4"/>
        <v>27.933499999999999</v>
      </c>
      <c r="D24" s="11">
        <v>340.52499999999998</v>
      </c>
      <c r="E24" s="11">
        <v>115.65</v>
      </c>
      <c r="F24" s="11">
        <v>64.25</v>
      </c>
      <c r="G24" s="3"/>
      <c r="H24" s="3"/>
      <c r="I24" s="11">
        <v>51.400000000000006</v>
      </c>
      <c r="J24" s="11">
        <v>38.549999999999997</v>
      </c>
      <c r="K24" s="11">
        <v>14.14</v>
      </c>
      <c r="L24" s="11"/>
      <c r="M24" s="11">
        <v>122.07499999999999</v>
      </c>
      <c r="N24" s="3">
        <v>150.79</v>
      </c>
      <c r="O24" s="3">
        <f>O22</f>
        <v>277.56</v>
      </c>
      <c r="P24" s="3"/>
      <c r="Q24" s="3">
        <f t="shared" si="7"/>
        <v>1202.8734999999997</v>
      </c>
      <c r="R24" s="3">
        <f t="shared" si="6"/>
        <v>-21774.354499999994</v>
      </c>
    </row>
    <row r="25" spans="1:18" s="45" customFormat="1">
      <c r="A25" s="6" t="s">
        <v>82</v>
      </c>
      <c r="B25" s="10">
        <f>SUM(B19:B24)</f>
        <v>12296.18</v>
      </c>
      <c r="C25" s="10">
        <f t="shared" ref="C25:Q25" si="8">SUM(C19:C24)</f>
        <v>307.40449999999998</v>
      </c>
      <c r="D25" s="10">
        <f t="shared" si="8"/>
        <v>2043.15</v>
      </c>
      <c r="E25" s="10">
        <f t="shared" si="8"/>
        <v>693.9</v>
      </c>
      <c r="F25" s="10">
        <f t="shared" si="8"/>
        <v>385.5</v>
      </c>
      <c r="G25" s="10">
        <f t="shared" si="8"/>
        <v>0</v>
      </c>
      <c r="H25" s="10">
        <f t="shared" si="8"/>
        <v>0</v>
      </c>
      <c r="I25" s="10">
        <f t="shared" si="8"/>
        <v>308.39999999999998</v>
      </c>
      <c r="J25" s="10">
        <f t="shared" si="8"/>
        <v>231.3</v>
      </c>
      <c r="K25" s="10">
        <f t="shared" si="8"/>
        <v>84.834999999999994</v>
      </c>
      <c r="L25" s="10">
        <f t="shared" si="8"/>
        <v>0</v>
      </c>
      <c r="M25" s="10">
        <f t="shared" si="8"/>
        <v>732.45</v>
      </c>
      <c r="N25" s="10">
        <f t="shared" si="8"/>
        <v>3157.67</v>
      </c>
      <c r="O25" s="10">
        <f t="shared" si="8"/>
        <v>1530.4349999999999</v>
      </c>
      <c r="P25" s="10">
        <f t="shared" si="8"/>
        <v>0</v>
      </c>
      <c r="Q25" s="10">
        <f t="shared" si="8"/>
        <v>9475.0444999999982</v>
      </c>
      <c r="R25" s="6"/>
    </row>
    <row r="26" spans="1:18" s="47" customFormat="1">
      <c r="A26" s="46" t="s">
        <v>51</v>
      </c>
      <c r="B26" s="46">
        <f>B17+B25</f>
        <v>25315.02</v>
      </c>
      <c r="C26" s="46">
        <f t="shared" ref="C26:Q26" si="9">C17+C25</f>
        <v>307.40449999999998</v>
      </c>
      <c r="D26" s="46">
        <f t="shared" si="9"/>
        <v>4317.6000000000004</v>
      </c>
      <c r="E26" s="46">
        <f t="shared" si="9"/>
        <v>1464.9</v>
      </c>
      <c r="F26" s="46">
        <f t="shared" si="9"/>
        <v>624.51</v>
      </c>
      <c r="G26" s="46">
        <f t="shared" si="9"/>
        <v>0</v>
      </c>
      <c r="H26" s="46">
        <f t="shared" si="9"/>
        <v>0</v>
      </c>
      <c r="I26" s="46">
        <f t="shared" si="9"/>
        <v>693.9</v>
      </c>
      <c r="J26" s="46">
        <f t="shared" si="9"/>
        <v>462.6</v>
      </c>
      <c r="K26" s="46">
        <f t="shared" si="9"/>
        <v>84.834999999999994</v>
      </c>
      <c r="L26" s="46">
        <f t="shared" si="9"/>
        <v>547.41999999999996</v>
      </c>
      <c r="M26" s="46">
        <f t="shared" si="9"/>
        <v>1078.8600000000001</v>
      </c>
      <c r="N26" s="46">
        <f t="shared" si="9"/>
        <v>4860.42</v>
      </c>
      <c r="O26" s="46">
        <f t="shared" si="9"/>
        <v>2810.2950000000001</v>
      </c>
      <c r="P26" s="46">
        <f t="shared" si="9"/>
        <v>0</v>
      </c>
      <c r="Q26" s="46">
        <f t="shared" si="9"/>
        <v>17252.744500000001</v>
      </c>
      <c r="R26" s="46">
        <f>D6+B26-Q26</f>
        <v>-21774.354500000001</v>
      </c>
    </row>
    <row r="28" spans="1:18">
      <c r="A28" s="102" t="s">
        <v>56</v>
      </c>
      <c r="B28" s="102"/>
      <c r="C28" s="33"/>
      <c r="D28" s="3">
        <v>162.41999999999999</v>
      </c>
    </row>
    <row r="29" spans="1:18">
      <c r="A29" s="15" t="s">
        <v>67</v>
      </c>
      <c r="B29" s="3"/>
      <c r="C29" s="3"/>
      <c r="D29" s="3">
        <v>160</v>
      </c>
    </row>
    <row r="30" spans="1:18">
      <c r="A30" s="15" t="s">
        <v>69</v>
      </c>
      <c r="B30" s="3"/>
      <c r="C30" s="3"/>
      <c r="D30" s="3">
        <v>225</v>
      </c>
    </row>
  </sheetData>
  <mergeCells count="22">
    <mergeCell ref="A1:R1"/>
    <mergeCell ref="A3:B3"/>
    <mergeCell ref="D3:E3"/>
    <mergeCell ref="F3:G3"/>
    <mergeCell ref="A4:B4"/>
    <mergeCell ref="N3:R3"/>
    <mergeCell ref="Q4:R4"/>
    <mergeCell ref="A28:B28"/>
    <mergeCell ref="Q8:Q9"/>
    <mergeCell ref="R8:R9"/>
    <mergeCell ref="M4:P4"/>
    <mergeCell ref="M5:P5"/>
    <mergeCell ref="M6:P6"/>
    <mergeCell ref="M7:P7"/>
    <mergeCell ref="A5:B5"/>
    <mergeCell ref="Q5:R5"/>
    <mergeCell ref="Q6:R6"/>
    <mergeCell ref="A6:B6"/>
    <mergeCell ref="A8:A9"/>
    <mergeCell ref="B8:B9"/>
    <mergeCell ref="D8:P8"/>
    <mergeCell ref="Q7:R7"/>
  </mergeCells>
  <pageMargins left="0.25" right="0.25" top="0.75" bottom="0.75" header="0.3" footer="0.3"/>
  <pageSetup paperSize="9" scale="91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S28"/>
  <sheetViews>
    <sheetView workbookViewId="0">
      <selection activeCell="N23" sqref="N23"/>
    </sheetView>
  </sheetViews>
  <sheetFormatPr defaultRowHeight="15"/>
  <cols>
    <col min="1" max="1" width="13.28515625" customWidth="1"/>
    <col min="2" max="2" width="9.28515625" customWidth="1"/>
    <col min="3" max="3" width="7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8.5703125" customWidth="1"/>
    <col min="16" max="16" width="7.5703125" customWidth="1"/>
    <col min="17" max="17" width="9" customWidth="1"/>
    <col min="18" max="18" width="10.7109375" customWidth="1"/>
  </cols>
  <sheetData>
    <row r="1" spans="1:19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9" ht="15.75" thickBot="1"/>
    <row r="3" spans="1:19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47</v>
      </c>
      <c r="N3" s="96" t="s">
        <v>63</v>
      </c>
      <c r="O3" s="96"/>
      <c r="P3" s="96"/>
      <c r="Q3" s="96"/>
      <c r="R3" s="96"/>
    </row>
    <row r="4" spans="1:19" ht="15.75" thickBot="1">
      <c r="A4" s="94" t="s">
        <v>14</v>
      </c>
      <c r="B4" s="95"/>
      <c r="C4" s="31"/>
      <c r="D4" s="1">
        <v>73</v>
      </c>
      <c r="E4" s="8" t="s">
        <v>27</v>
      </c>
      <c r="N4" s="97" t="s">
        <v>61</v>
      </c>
      <c r="O4" s="97"/>
      <c r="P4" s="97"/>
      <c r="Q4" s="97"/>
      <c r="R4" s="85">
        <v>0</v>
      </c>
    </row>
    <row r="5" spans="1:19" ht="15.75" thickBot="1">
      <c r="A5" s="94" t="s">
        <v>13</v>
      </c>
      <c r="B5" s="95"/>
      <c r="C5" s="31"/>
      <c r="D5" s="1">
        <v>3</v>
      </c>
      <c r="N5" s="97" t="s">
        <v>84</v>
      </c>
      <c r="O5" s="97"/>
      <c r="P5" s="97"/>
      <c r="Q5" s="97"/>
      <c r="R5" s="85"/>
    </row>
    <row r="6" spans="1:19" ht="15.75" thickBot="1">
      <c r="A6" s="94" t="s">
        <v>15</v>
      </c>
      <c r="B6" s="95"/>
      <c r="C6" s="31"/>
      <c r="D6" s="1">
        <v>-9167.24</v>
      </c>
      <c r="N6" s="97" t="s">
        <v>62</v>
      </c>
      <c r="O6" s="97"/>
      <c r="P6" s="97"/>
      <c r="Q6" s="97"/>
      <c r="R6" s="85"/>
    </row>
    <row r="7" spans="1:19">
      <c r="N7" s="102" t="s">
        <v>64</v>
      </c>
      <c r="O7" s="97"/>
      <c r="P7" s="97"/>
      <c r="Q7" s="97"/>
      <c r="R7" s="84">
        <f>SUM(R4:R6)</f>
        <v>0</v>
      </c>
    </row>
    <row r="8" spans="1:19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19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7" t="s">
        <v>86</v>
      </c>
      <c r="O9" s="4" t="s">
        <v>28</v>
      </c>
      <c r="P9" s="12" t="s">
        <v>29</v>
      </c>
      <c r="Q9" s="103"/>
      <c r="R9" s="105"/>
      <c r="S9" s="2"/>
    </row>
    <row r="10" spans="1:19">
      <c r="A10" s="9">
        <f>SUM(D10:P10)</f>
        <v>12.41</v>
      </c>
      <c r="B10" s="10"/>
      <c r="C10" s="20"/>
      <c r="D10" s="6">
        <v>2.95</v>
      </c>
      <c r="E10" s="6">
        <v>1</v>
      </c>
      <c r="F10" s="6">
        <v>0.31</v>
      </c>
      <c r="G10" s="6">
        <v>0.43</v>
      </c>
      <c r="H10" s="6">
        <v>0.21</v>
      </c>
      <c r="I10" s="6">
        <v>0.5</v>
      </c>
      <c r="J10" s="6">
        <v>0.3</v>
      </c>
      <c r="K10" s="6">
        <v>0.1</v>
      </c>
      <c r="L10" s="6"/>
      <c r="M10" s="6">
        <v>0.45</v>
      </c>
      <c r="N10" s="68">
        <v>4.5</v>
      </c>
      <c r="O10" s="4">
        <v>1.66</v>
      </c>
      <c r="P10" s="4"/>
      <c r="Q10" s="3"/>
      <c r="R10" s="3"/>
    </row>
    <row r="11" spans="1:19">
      <c r="A11" s="3" t="s">
        <v>0</v>
      </c>
      <c r="B11" s="13">
        <v>285.43</v>
      </c>
      <c r="C11" s="44"/>
      <c r="D11" s="3">
        <f>D10*73</f>
        <v>215.35000000000002</v>
      </c>
      <c r="E11" s="3">
        <f t="shared" ref="E11:O11" si="0">E10*73</f>
        <v>73</v>
      </c>
      <c r="F11" s="3">
        <f t="shared" si="0"/>
        <v>22.63</v>
      </c>
      <c r="G11" s="3"/>
      <c r="H11" s="3"/>
      <c r="I11" s="3">
        <f t="shared" si="0"/>
        <v>36.5</v>
      </c>
      <c r="J11" s="3">
        <f t="shared" si="0"/>
        <v>21.9</v>
      </c>
      <c r="K11" s="3"/>
      <c r="L11" s="3"/>
      <c r="M11" s="3">
        <f t="shared" si="0"/>
        <v>32.85</v>
      </c>
      <c r="N11" s="3"/>
      <c r="O11" s="3">
        <f t="shared" si="0"/>
        <v>121.17999999999999</v>
      </c>
      <c r="P11" s="3"/>
      <c r="Q11" s="3">
        <f t="shared" ref="Q11:Q16" si="1">SUM(D11:P11)</f>
        <v>523.41</v>
      </c>
      <c r="R11" s="3">
        <f>D6+B11-Q11</f>
        <v>-9405.2199999999993</v>
      </c>
    </row>
    <row r="12" spans="1:19">
      <c r="A12" s="3" t="s">
        <v>1</v>
      </c>
      <c r="B12" s="13">
        <v>285.43</v>
      </c>
      <c r="C12" s="44"/>
      <c r="D12" s="3">
        <v>215.35000000000002</v>
      </c>
      <c r="E12" s="3">
        <v>73</v>
      </c>
      <c r="F12" s="3">
        <v>22.63</v>
      </c>
      <c r="G12" s="3"/>
      <c r="H12" s="3"/>
      <c r="I12" s="3">
        <v>36.5</v>
      </c>
      <c r="J12" s="3">
        <v>21.9</v>
      </c>
      <c r="K12" s="3"/>
      <c r="L12" s="3"/>
      <c r="M12" s="3">
        <v>32.85</v>
      </c>
      <c r="N12" s="3">
        <v>15.59</v>
      </c>
      <c r="O12" s="3">
        <v>121.17999999999999</v>
      </c>
      <c r="P12" s="3"/>
      <c r="Q12" s="3">
        <f t="shared" si="1"/>
        <v>539</v>
      </c>
      <c r="R12" s="3">
        <f>R11+B12-Q12</f>
        <v>-9658.7899999999991</v>
      </c>
    </row>
    <row r="13" spans="1:19">
      <c r="A13" s="3" t="s">
        <v>2</v>
      </c>
      <c r="B13" s="13">
        <v>285.43</v>
      </c>
      <c r="C13" s="44"/>
      <c r="D13" s="3">
        <v>215.35000000000002</v>
      </c>
      <c r="E13" s="3">
        <v>73</v>
      </c>
      <c r="F13" s="3">
        <v>22.63</v>
      </c>
      <c r="G13" s="3"/>
      <c r="H13" s="3"/>
      <c r="I13" s="3">
        <v>36.5</v>
      </c>
      <c r="J13" s="3">
        <v>21.9</v>
      </c>
      <c r="K13" s="3"/>
      <c r="L13" s="3"/>
      <c r="M13" s="3">
        <v>32.85</v>
      </c>
      <c r="N13" s="3"/>
      <c r="O13" s="3">
        <v>121.17999999999999</v>
      </c>
      <c r="P13" s="3"/>
      <c r="Q13" s="3">
        <f t="shared" si="1"/>
        <v>523.41</v>
      </c>
      <c r="R13" s="3">
        <f>R12+B13-Q13</f>
        <v>-9896.7699999999986</v>
      </c>
    </row>
    <row r="14" spans="1:19">
      <c r="A14" s="3" t="s">
        <v>3</v>
      </c>
      <c r="B14" s="13">
        <v>285.43</v>
      </c>
      <c r="C14" s="44"/>
      <c r="D14" s="3">
        <v>215.35000000000002</v>
      </c>
      <c r="E14" s="3">
        <v>73</v>
      </c>
      <c r="F14" s="3">
        <v>22.63</v>
      </c>
      <c r="G14" s="3"/>
      <c r="H14" s="3"/>
      <c r="I14" s="3">
        <v>36.5</v>
      </c>
      <c r="J14" s="3">
        <v>21.9</v>
      </c>
      <c r="K14" s="3"/>
      <c r="L14" s="3"/>
      <c r="M14" s="3">
        <v>32.85</v>
      </c>
      <c r="N14" s="3"/>
      <c r="O14" s="3">
        <v>121.17999999999999</v>
      </c>
      <c r="P14" s="3"/>
      <c r="Q14" s="3">
        <f t="shared" si="1"/>
        <v>523.41</v>
      </c>
      <c r="R14" s="3">
        <f>R13+B14-Q14</f>
        <v>-10134.749999999998</v>
      </c>
    </row>
    <row r="15" spans="1:19">
      <c r="A15" s="3" t="s">
        <v>4</v>
      </c>
      <c r="B15" s="5">
        <v>0</v>
      </c>
      <c r="C15" s="44"/>
      <c r="D15" s="3">
        <v>215.35000000000002</v>
      </c>
      <c r="E15" s="3">
        <v>73</v>
      </c>
      <c r="F15" s="3">
        <v>22.63</v>
      </c>
      <c r="G15" s="3"/>
      <c r="H15" s="3"/>
      <c r="I15" s="3">
        <v>36.5</v>
      </c>
      <c r="J15" s="3">
        <v>21.9</v>
      </c>
      <c r="K15" s="3"/>
      <c r="L15" s="3">
        <v>92.27</v>
      </c>
      <c r="M15" s="3">
        <v>32.85</v>
      </c>
      <c r="N15" s="3"/>
      <c r="O15" s="3">
        <v>121.17999999999999</v>
      </c>
      <c r="P15" s="3"/>
      <c r="Q15" s="3">
        <f t="shared" si="1"/>
        <v>615.67999999999995</v>
      </c>
      <c r="R15" s="3">
        <f>R14+B15-Q15</f>
        <v>-10750.429999999998</v>
      </c>
    </row>
    <row r="16" spans="1:19">
      <c r="A16" s="3" t="s">
        <v>5</v>
      </c>
      <c r="B16" s="5">
        <v>570.86</v>
      </c>
      <c r="C16" s="44"/>
      <c r="D16" s="3">
        <v>215.35000000000002</v>
      </c>
      <c r="E16" s="3">
        <v>73</v>
      </c>
      <c r="F16" s="3">
        <v>22.63</v>
      </c>
      <c r="G16" s="3"/>
      <c r="H16" s="3"/>
      <c r="I16" s="3">
        <v>36.5</v>
      </c>
      <c r="J16" s="3">
        <v>21.9</v>
      </c>
      <c r="K16" s="3"/>
      <c r="L16" s="3"/>
      <c r="M16" s="3">
        <v>32.85</v>
      </c>
      <c r="N16" s="3"/>
      <c r="O16" s="3">
        <v>121.17999999999999</v>
      </c>
      <c r="P16" s="3"/>
      <c r="Q16" s="3">
        <f t="shared" si="1"/>
        <v>523.41</v>
      </c>
      <c r="R16" s="3">
        <f>R15+B16-Q16</f>
        <v>-10702.979999999998</v>
      </c>
    </row>
    <row r="17" spans="1:18" s="45" customFormat="1">
      <c r="A17" s="6" t="s">
        <v>81</v>
      </c>
      <c r="B17" s="49">
        <f>SUM(B11:B16)</f>
        <v>1712.58</v>
      </c>
      <c r="C17" s="49">
        <f t="shared" ref="C17:Q17" si="2">SUM(C11:C16)</f>
        <v>0</v>
      </c>
      <c r="D17" s="49">
        <f t="shared" si="2"/>
        <v>1292.0999999999999</v>
      </c>
      <c r="E17" s="49">
        <f t="shared" si="2"/>
        <v>438</v>
      </c>
      <c r="F17" s="49">
        <f t="shared" si="2"/>
        <v>135.78</v>
      </c>
      <c r="G17" s="49">
        <f t="shared" si="2"/>
        <v>0</v>
      </c>
      <c r="H17" s="49">
        <f t="shared" si="2"/>
        <v>0</v>
      </c>
      <c r="I17" s="49">
        <f t="shared" si="2"/>
        <v>219</v>
      </c>
      <c r="J17" s="49">
        <f t="shared" si="2"/>
        <v>131.4</v>
      </c>
      <c r="K17" s="49">
        <f t="shared" si="2"/>
        <v>0</v>
      </c>
      <c r="L17" s="49">
        <f t="shared" si="2"/>
        <v>92.27</v>
      </c>
      <c r="M17" s="49">
        <f t="shared" si="2"/>
        <v>197.1</v>
      </c>
      <c r="N17" s="49">
        <f t="shared" si="2"/>
        <v>15.59</v>
      </c>
      <c r="O17" s="49">
        <f t="shared" si="2"/>
        <v>727.07999999999993</v>
      </c>
      <c r="P17" s="49">
        <f t="shared" si="2"/>
        <v>0</v>
      </c>
      <c r="Q17" s="49">
        <f t="shared" si="2"/>
        <v>3248.3199999999993</v>
      </c>
      <c r="R17" s="6"/>
    </row>
    <row r="18" spans="1:18" s="43" customFormat="1">
      <c r="A18" s="41">
        <v>14.27</v>
      </c>
      <c r="B18" s="41"/>
      <c r="C18" s="42">
        <v>0.17</v>
      </c>
      <c r="D18" s="41">
        <v>2.65</v>
      </c>
      <c r="E18" s="41">
        <v>0.9</v>
      </c>
      <c r="F18" s="41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4">
        <v>5.47</v>
      </c>
      <c r="O18" s="41">
        <v>1.81</v>
      </c>
      <c r="P18" s="41"/>
      <c r="Q18" s="41"/>
      <c r="R18" s="3">
        <f>R16+B18-Q18</f>
        <v>-10702.979999999998</v>
      </c>
    </row>
    <row r="19" spans="1:18">
      <c r="A19" s="3" t="s">
        <v>6</v>
      </c>
      <c r="B19" s="5">
        <v>0</v>
      </c>
      <c r="C19" s="44">
        <f t="shared" ref="C19:C24" si="3">B19*2.5/100</f>
        <v>0</v>
      </c>
      <c r="D19" s="3">
        <f>D18*73</f>
        <v>193.45</v>
      </c>
      <c r="E19" s="3">
        <f t="shared" ref="E19:O19" si="4">E18*73</f>
        <v>65.7</v>
      </c>
      <c r="F19" s="3">
        <f t="shared" si="4"/>
        <v>36.5</v>
      </c>
      <c r="G19" s="3"/>
      <c r="H19" s="3"/>
      <c r="I19" s="3">
        <f t="shared" si="4"/>
        <v>29.200000000000003</v>
      </c>
      <c r="J19" s="3">
        <f t="shared" si="4"/>
        <v>21.9</v>
      </c>
      <c r="K19" s="3">
        <f t="shared" si="4"/>
        <v>8.0299999999999994</v>
      </c>
      <c r="L19" s="3"/>
      <c r="M19" s="3">
        <f t="shared" si="4"/>
        <v>69.349999999999994</v>
      </c>
      <c r="N19" s="3">
        <v>15.17</v>
      </c>
      <c r="O19" s="3">
        <f t="shared" si="4"/>
        <v>132.13</v>
      </c>
      <c r="P19" s="3"/>
      <c r="Q19" s="11">
        <f>SUM(C19:P19)</f>
        <v>571.42999999999984</v>
      </c>
      <c r="R19" s="3">
        <f t="shared" ref="R19:R24" si="5">R18+B19-Q19</f>
        <v>-11274.409999999998</v>
      </c>
    </row>
    <row r="20" spans="1:18">
      <c r="A20" s="3" t="s">
        <v>7</v>
      </c>
      <c r="B20" s="5">
        <v>613.64</v>
      </c>
      <c r="C20" s="44">
        <f t="shared" si="3"/>
        <v>15.340999999999999</v>
      </c>
      <c r="D20" s="3">
        <v>193.45</v>
      </c>
      <c r="E20" s="3">
        <v>65.7</v>
      </c>
      <c r="F20" s="3">
        <v>36.5</v>
      </c>
      <c r="G20" s="3"/>
      <c r="H20" s="3"/>
      <c r="I20" s="3">
        <v>29.200000000000003</v>
      </c>
      <c r="J20" s="3">
        <v>21.9</v>
      </c>
      <c r="K20" s="3">
        <v>8.0299999999999994</v>
      </c>
      <c r="L20" s="3"/>
      <c r="M20" s="3">
        <v>69.349999999999994</v>
      </c>
      <c r="N20" s="3"/>
      <c r="O20" s="3">
        <v>132.13</v>
      </c>
      <c r="P20" s="3"/>
      <c r="Q20" s="11">
        <f t="shared" ref="Q20:Q24" si="6">SUM(C20:P20)</f>
        <v>571.60099999999989</v>
      </c>
      <c r="R20" s="3">
        <f t="shared" si="5"/>
        <v>-11232.370999999999</v>
      </c>
    </row>
    <row r="21" spans="1:18">
      <c r="A21" s="3" t="s">
        <v>8</v>
      </c>
      <c r="B21" s="5">
        <v>328.21</v>
      </c>
      <c r="C21" s="44">
        <f t="shared" si="3"/>
        <v>8.2052499999999995</v>
      </c>
      <c r="D21" s="3">
        <v>193.45</v>
      </c>
      <c r="E21" s="3">
        <v>65.7</v>
      </c>
      <c r="F21" s="3">
        <v>36.5</v>
      </c>
      <c r="G21" s="3"/>
      <c r="H21" s="3"/>
      <c r="I21" s="3">
        <v>29.200000000000003</v>
      </c>
      <c r="J21" s="3">
        <v>21.9</v>
      </c>
      <c r="K21" s="3">
        <v>8.0299999999999994</v>
      </c>
      <c r="L21" s="3"/>
      <c r="M21" s="3">
        <v>69.349999999999994</v>
      </c>
      <c r="N21" s="3">
        <v>14.84</v>
      </c>
      <c r="O21" s="3">
        <v>132.13</v>
      </c>
      <c r="P21" s="3"/>
      <c r="Q21" s="11">
        <f t="shared" si="6"/>
        <v>579.30524999999989</v>
      </c>
      <c r="R21" s="3">
        <f t="shared" si="5"/>
        <v>-11483.466249999999</v>
      </c>
    </row>
    <row r="22" spans="1:18">
      <c r="A22" s="3" t="s">
        <v>9</v>
      </c>
      <c r="B22" s="5"/>
      <c r="C22" s="44">
        <f t="shared" si="3"/>
        <v>0</v>
      </c>
      <c r="D22" s="3">
        <v>193.45</v>
      </c>
      <c r="E22" s="3">
        <v>65.7</v>
      </c>
      <c r="F22" s="3">
        <v>36.5</v>
      </c>
      <c r="G22" s="3"/>
      <c r="H22" s="3"/>
      <c r="I22" s="3">
        <v>29.200000000000003</v>
      </c>
      <c r="J22" s="3">
        <v>21.9</v>
      </c>
      <c r="K22" s="3">
        <v>8.0299999999999994</v>
      </c>
      <c r="L22" s="3"/>
      <c r="M22" s="3">
        <v>69.349999999999994</v>
      </c>
      <c r="N22" s="3">
        <v>35.299999999999997</v>
      </c>
      <c r="O22" s="3">
        <f>D4*2.16</f>
        <v>157.68</v>
      </c>
      <c r="P22" s="3"/>
      <c r="Q22" s="11">
        <f t="shared" si="6"/>
        <v>617.1099999999999</v>
      </c>
      <c r="R22" s="3">
        <f t="shared" si="5"/>
        <v>-12100.57625</v>
      </c>
    </row>
    <row r="23" spans="1:18">
      <c r="A23" s="3" t="s">
        <v>10</v>
      </c>
      <c r="B23" s="5">
        <v>656.42</v>
      </c>
      <c r="C23" s="44">
        <f t="shared" si="3"/>
        <v>16.410499999999999</v>
      </c>
      <c r="D23" s="3">
        <v>193.45</v>
      </c>
      <c r="E23" s="3">
        <v>65.7</v>
      </c>
      <c r="F23" s="3">
        <v>36.5</v>
      </c>
      <c r="G23" s="3"/>
      <c r="H23" s="3"/>
      <c r="I23" s="3">
        <v>29.200000000000003</v>
      </c>
      <c r="J23" s="3">
        <v>21.9</v>
      </c>
      <c r="K23" s="3">
        <v>8.0299999999999994</v>
      </c>
      <c r="L23" s="3"/>
      <c r="M23" s="3">
        <v>69.349999999999994</v>
      </c>
      <c r="N23" s="3">
        <v>36.520000000000003</v>
      </c>
      <c r="O23" s="3">
        <f>O22</f>
        <v>157.68</v>
      </c>
      <c r="P23" s="3"/>
      <c r="Q23" s="11">
        <f t="shared" si="6"/>
        <v>634.74049999999988</v>
      </c>
      <c r="R23" s="3">
        <f t="shared" si="5"/>
        <v>-12078.89675</v>
      </c>
    </row>
    <row r="24" spans="1:18">
      <c r="A24" s="3" t="s">
        <v>11</v>
      </c>
      <c r="B24" s="5">
        <v>328.21</v>
      </c>
      <c r="C24" s="44">
        <f t="shared" si="3"/>
        <v>8.2052499999999995</v>
      </c>
      <c r="D24" s="3">
        <v>193.45</v>
      </c>
      <c r="E24" s="3">
        <v>65.7</v>
      </c>
      <c r="F24" s="3">
        <v>36.5</v>
      </c>
      <c r="G24" s="3"/>
      <c r="H24" s="3"/>
      <c r="I24" s="3">
        <v>29.200000000000003</v>
      </c>
      <c r="J24" s="3">
        <v>21.9</v>
      </c>
      <c r="K24" s="3">
        <v>8.0299999999999994</v>
      </c>
      <c r="L24" s="3"/>
      <c r="M24" s="3">
        <v>69.349999999999994</v>
      </c>
      <c r="N24" s="3"/>
      <c r="O24" s="3">
        <f>O23</f>
        <v>157.68</v>
      </c>
      <c r="P24" s="3"/>
      <c r="Q24" s="11">
        <f t="shared" si="6"/>
        <v>590.01524999999992</v>
      </c>
      <c r="R24" s="3">
        <f t="shared" si="5"/>
        <v>-12340.702000000001</v>
      </c>
    </row>
    <row r="25" spans="1:18" s="45" customFormat="1">
      <c r="A25" s="6" t="s">
        <v>82</v>
      </c>
      <c r="B25" s="10">
        <f>SUM(B19:B24)</f>
        <v>1926.48</v>
      </c>
      <c r="C25" s="10">
        <f t="shared" ref="C25:Q25" si="7">SUM(C19:C24)</f>
        <v>48.161999999999999</v>
      </c>
      <c r="D25" s="10">
        <f t="shared" si="7"/>
        <v>1160.7</v>
      </c>
      <c r="E25" s="10">
        <f t="shared" si="7"/>
        <v>394.2</v>
      </c>
      <c r="F25" s="10">
        <f t="shared" si="7"/>
        <v>219</v>
      </c>
      <c r="G25" s="10">
        <f t="shared" si="7"/>
        <v>0</v>
      </c>
      <c r="H25" s="10">
        <f t="shared" si="7"/>
        <v>0</v>
      </c>
      <c r="I25" s="10">
        <f t="shared" si="7"/>
        <v>175.2</v>
      </c>
      <c r="J25" s="10">
        <f t="shared" si="7"/>
        <v>131.4</v>
      </c>
      <c r="K25" s="10">
        <f t="shared" si="7"/>
        <v>48.18</v>
      </c>
      <c r="L25" s="10">
        <f t="shared" si="7"/>
        <v>0</v>
      </c>
      <c r="M25" s="10">
        <f t="shared" si="7"/>
        <v>416.1</v>
      </c>
      <c r="N25" s="10">
        <f t="shared" si="7"/>
        <v>101.83000000000001</v>
      </c>
      <c r="O25" s="10">
        <f t="shared" si="7"/>
        <v>869.43000000000006</v>
      </c>
      <c r="P25" s="10">
        <f t="shared" si="7"/>
        <v>0</v>
      </c>
      <c r="Q25" s="10">
        <f t="shared" si="7"/>
        <v>3564.2019999999993</v>
      </c>
      <c r="R25" s="6"/>
    </row>
    <row r="26" spans="1:18" s="47" customFormat="1">
      <c r="A26" s="46" t="s">
        <v>51</v>
      </c>
      <c r="B26" s="50">
        <f>B17+B25</f>
        <v>3639.06</v>
      </c>
      <c r="C26" s="50">
        <f t="shared" ref="C26:Q26" si="8">C17+C25</f>
        <v>48.161999999999999</v>
      </c>
      <c r="D26" s="50">
        <f t="shared" si="8"/>
        <v>2452.8000000000002</v>
      </c>
      <c r="E26" s="50">
        <f t="shared" si="8"/>
        <v>832.2</v>
      </c>
      <c r="F26" s="50">
        <f t="shared" si="8"/>
        <v>354.78</v>
      </c>
      <c r="G26" s="50">
        <f t="shared" si="8"/>
        <v>0</v>
      </c>
      <c r="H26" s="50">
        <f t="shared" si="8"/>
        <v>0</v>
      </c>
      <c r="I26" s="50">
        <f t="shared" si="8"/>
        <v>394.2</v>
      </c>
      <c r="J26" s="50">
        <f t="shared" si="8"/>
        <v>262.8</v>
      </c>
      <c r="K26" s="50">
        <f t="shared" si="8"/>
        <v>48.18</v>
      </c>
      <c r="L26" s="50">
        <f t="shared" si="8"/>
        <v>92.27</v>
      </c>
      <c r="M26" s="50">
        <f t="shared" si="8"/>
        <v>613.20000000000005</v>
      </c>
      <c r="N26" s="50">
        <f t="shared" si="8"/>
        <v>117.42000000000002</v>
      </c>
      <c r="O26" s="50">
        <f t="shared" si="8"/>
        <v>1596.51</v>
      </c>
      <c r="P26" s="50">
        <f t="shared" si="8"/>
        <v>0</v>
      </c>
      <c r="Q26" s="50">
        <f t="shared" si="8"/>
        <v>6812.521999999999</v>
      </c>
      <c r="R26" s="50">
        <f>D6+B26-Q26</f>
        <v>-12340.701999999999</v>
      </c>
    </row>
    <row r="28" spans="1:18">
      <c r="A28" s="102" t="s">
        <v>56</v>
      </c>
      <c r="B28" s="102"/>
      <c r="C28" s="33"/>
      <c r="D28" s="3">
        <v>92.27</v>
      </c>
    </row>
  </sheetData>
  <mergeCells count="18">
    <mergeCell ref="D8:P8"/>
    <mergeCell ref="N7:Q7"/>
    <mergeCell ref="A28:B28"/>
    <mergeCell ref="Q8:Q9"/>
    <mergeCell ref="R8:R9"/>
    <mergeCell ref="A8:A9"/>
    <mergeCell ref="B8:B9"/>
    <mergeCell ref="A1:R1"/>
    <mergeCell ref="A3:B3"/>
    <mergeCell ref="D3:E3"/>
    <mergeCell ref="F3:G3"/>
    <mergeCell ref="A4:B4"/>
    <mergeCell ref="A5:B5"/>
    <mergeCell ref="N3:R3"/>
    <mergeCell ref="N4:Q4"/>
    <mergeCell ref="N5:Q5"/>
    <mergeCell ref="N6:Q6"/>
    <mergeCell ref="A6:B6"/>
  </mergeCells>
  <pageMargins left="0.25" right="0.25" top="0.75" bottom="0.75" header="0.3" footer="0.3"/>
  <pageSetup paperSize="9" scale="9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8"/>
  </sheetPr>
  <dimension ref="A1:T39"/>
  <sheetViews>
    <sheetView workbookViewId="0">
      <selection activeCell="N22" sqref="N22"/>
    </sheetView>
  </sheetViews>
  <sheetFormatPr defaultRowHeight="15"/>
  <cols>
    <col min="1" max="1" width="13.7109375" customWidth="1"/>
    <col min="2" max="3" width="10" customWidth="1"/>
    <col min="4" max="4" width="8.7109375" customWidth="1"/>
    <col min="6" max="6" width="8" customWidth="1"/>
    <col min="7" max="7" width="5.7109375" customWidth="1"/>
    <col min="8" max="8" width="7.7109375" customWidth="1"/>
    <col min="9" max="9" width="7.42578125" customWidth="1"/>
    <col min="10" max="10" width="7.5703125" customWidth="1"/>
    <col min="11" max="12" width="7.7109375" customWidth="1"/>
    <col min="13" max="13" width="7.85546875" customWidth="1"/>
    <col min="14" max="14" width="10.7109375" customWidth="1"/>
    <col min="15" max="15" width="9.7109375" customWidth="1"/>
    <col min="16" max="16" width="10" customWidth="1"/>
    <col min="17" max="17" width="9.42578125" customWidth="1"/>
    <col min="18" max="18" width="9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>
      <c r="N2" s="96"/>
      <c r="O2" s="96"/>
      <c r="P2" s="96"/>
      <c r="Q2" s="96"/>
      <c r="R2" s="96"/>
    </row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48</v>
      </c>
      <c r="M3" s="97" t="s">
        <v>61</v>
      </c>
      <c r="N3" s="97"/>
      <c r="O3" s="97"/>
      <c r="P3" s="97"/>
      <c r="Q3" s="123">
        <v>88891.21</v>
      </c>
      <c r="R3" s="123"/>
    </row>
    <row r="4" spans="1:20" ht="15.75" thickBot="1">
      <c r="A4" s="94" t="s">
        <v>14</v>
      </c>
      <c r="B4" s="95"/>
      <c r="C4" s="31"/>
      <c r="D4" s="1">
        <v>983.7</v>
      </c>
      <c r="E4" s="8" t="s">
        <v>27</v>
      </c>
      <c r="M4" s="97" t="s">
        <v>84</v>
      </c>
      <c r="N4" s="97"/>
      <c r="O4" s="97"/>
      <c r="P4" s="97"/>
      <c r="Q4" s="123">
        <v>39000</v>
      </c>
      <c r="R4" s="123"/>
    </row>
    <row r="5" spans="1:20" ht="15.75" thickBot="1">
      <c r="A5" s="94" t="s">
        <v>13</v>
      </c>
      <c r="B5" s="95"/>
      <c r="C5" s="31"/>
      <c r="D5" s="1">
        <v>2</v>
      </c>
      <c r="M5" s="97" t="s">
        <v>62</v>
      </c>
      <c r="N5" s="97"/>
      <c r="O5" s="97"/>
      <c r="P5" s="97"/>
      <c r="Q5" s="123">
        <v>80606.94</v>
      </c>
      <c r="R5" s="123"/>
    </row>
    <row r="6" spans="1:20" ht="15.75" thickBot="1">
      <c r="A6" s="24"/>
      <c r="B6" s="25"/>
      <c r="C6" s="31"/>
      <c r="D6" s="1"/>
      <c r="M6" s="97" t="s">
        <v>62</v>
      </c>
      <c r="N6" s="97"/>
      <c r="O6" s="97"/>
      <c r="P6" s="97"/>
      <c r="Q6" s="126">
        <v>20598.8</v>
      </c>
      <c r="R6" s="127"/>
    </row>
    <row r="7" spans="1:20" ht="15.75" thickBot="1">
      <c r="A7" s="94" t="s">
        <v>15</v>
      </c>
      <c r="B7" s="95"/>
      <c r="C7" s="31"/>
      <c r="D7" s="1">
        <v>69008.55</v>
      </c>
      <c r="M7" s="102" t="s">
        <v>64</v>
      </c>
      <c r="N7" s="102"/>
      <c r="O7" s="97"/>
      <c r="P7" s="97"/>
      <c r="Q7" s="106">
        <f>Q3+Q4-Q5-Q6</f>
        <v>26685.470000000005</v>
      </c>
      <c r="R7" s="106"/>
    </row>
    <row r="9" spans="1:20" ht="15" customHeight="1">
      <c r="A9" s="107"/>
      <c r="B9" s="109" t="s">
        <v>16</v>
      </c>
      <c r="C9" s="39"/>
      <c r="D9" s="99" t="s">
        <v>26</v>
      </c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1"/>
      <c r="Q9" s="103" t="s">
        <v>24</v>
      </c>
      <c r="R9" s="104" t="s">
        <v>25</v>
      </c>
    </row>
    <row r="10" spans="1:20" ht="78.75" customHeight="1">
      <c r="A10" s="108"/>
      <c r="B10" s="109"/>
      <c r="C10" s="40" t="s">
        <v>80</v>
      </c>
      <c r="D10" s="4" t="s">
        <v>17</v>
      </c>
      <c r="E10" s="4" t="s">
        <v>19</v>
      </c>
      <c r="F10" s="4" t="s">
        <v>18</v>
      </c>
      <c r="G10" s="4" t="s">
        <v>20</v>
      </c>
      <c r="H10" s="4" t="s">
        <v>21</v>
      </c>
      <c r="I10" s="4" t="s">
        <v>22</v>
      </c>
      <c r="J10" s="4" t="s">
        <v>23</v>
      </c>
      <c r="K10" s="53" t="s">
        <v>91</v>
      </c>
      <c r="L10" s="53" t="s">
        <v>87</v>
      </c>
      <c r="M10" s="53" t="s">
        <v>95</v>
      </c>
      <c r="N10" s="67" t="s">
        <v>86</v>
      </c>
      <c r="O10" s="4" t="s">
        <v>28</v>
      </c>
      <c r="P10" s="7" t="s">
        <v>29</v>
      </c>
      <c r="Q10" s="103"/>
      <c r="R10" s="105"/>
      <c r="S10" s="2"/>
      <c r="T10" s="2"/>
    </row>
    <row r="11" spans="1:20">
      <c r="A11" s="9">
        <f>SUM(D11:P11)</f>
        <v>40.04</v>
      </c>
      <c r="B11" s="10"/>
      <c r="C11" s="20"/>
      <c r="D11" s="6">
        <v>2.95</v>
      </c>
      <c r="E11" s="6">
        <v>1.1000000000000001</v>
      </c>
      <c r="F11" s="6">
        <v>0.5</v>
      </c>
      <c r="G11" s="6">
        <v>0.85</v>
      </c>
      <c r="H11" s="6">
        <v>0.3</v>
      </c>
      <c r="I11" s="6">
        <v>0.5</v>
      </c>
      <c r="J11" s="6">
        <v>0.3</v>
      </c>
      <c r="K11" s="6"/>
      <c r="L11" s="6">
        <v>0.1</v>
      </c>
      <c r="M11" s="6">
        <v>0.45</v>
      </c>
      <c r="N11" s="69">
        <v>5.7</v>
      </c>
      <c r="O11" s="4">
        <v>1.66</v>
      </c>
      <c r="P11" s="4">
        <v>25.63</v>
      </c>
      <c r="Q11" s="3"/>
      <c r="R11" s="3"/>
    </row>
    <row r="12" spans="1:20">
      <c r="A12" s="3" t="s">
        <v>0</v>
      </c>
      <c r="B12" s="5">
        <v>20341.82</v>
      </c>
      <c r="C12" s="44"/>
      <c r="D12" s="11">
        <f>D11*983.7</f>
        <v>2901.9150000000004</v>
      </c>
      <c r="E12" s="11">
        <f t="shared" ref="E12:J12" si="0">E11*983.7</f>
        <v>1082.0700000000002</v>
      </c>
      <c r="F12" s="11">
        <f t="shared" si="0"/>
        <v>491.85</v>
      </c>
      <c r="G12" s="11"/>
      <c r="H12" s="11"/>
      <c r="I12" s="11">
        <f t="shared" si="0"/>
        <v>491.85</v>
      </c>
      <c r="J12" s="11">
        <f t="shared" si="0"/>
        <v>295.11</v>
      </c>
      <c r="K12" s="11"/>
      <c r="L12" s="11">
        <v>160</v>
      </c>
      <c r="M12" s="11">
        <f>M11*983.7</f>
        <v>442.66500000000002</v>
      </c>
      <c r="N12" s="11">
        <v>648.79999999999995</v>
      </c>
      <c r="O12" s="11">
        <f>O11*983.7</f>
        <v>1632.942</v>
      </c>
      <c r="P12" s="11">
        <v>11303.55</v>
      </c>
      <c r="Q12" s="3">
        <f t="shared" ref="Q12:Q17" si="1">SUM(D12:P12)</f>
        <v>19450.752</v>
      </c>
      <c r="R12" s="3">
        <f>D7+B12-Q12</f>
        <v>69899.617999999988</v>
      </c>
    </row>
    <row r="13" spans="1:20">
      <c r="A13" s="3" t="s">
        <v>1</v>
      </c>
      <c r="B13" s="5">
        <v>34165.949999999997</v>
      </c>
      <c r="C13" s="44"/>
      <c r="D13" s="3">
        <v>2901.9150000000004</v>
      </c>
      <c r="E13" s="3">
        <v>1082.0700000000002</v>
      </c>
      <c r="F13" s="3">
        <v>491.85</v>
      </c>
      <c r="G13" s="3"/>
      <c r="H13" s="3"/>
      <c r="I13" s="3">
        <v>491.85</v>
      </c>
      <c r="J13" s="3">
        <v>295.11</v>
      </c>
      <c r="K13" s="3"/>
      <c r="L13" s="3">
        <v>225</v>
      </c>
      <c r="M13" s="3">
        <v>442.67</v>
      </c>
      <c r="N13" s="3">
        <v>8284.34</v>
      </c>
      <c r="O13" s="3">
        <v>1632.94</v>
      </c>
      <c r="P13" s="3">
        <v>10884.9</v>
      </c>
      <c r="Q13" s="3">
        <f t="shared" si="1"/>
        <v>26732.645</v>
      </c>
      <c r="R13" s="3">
        <f>R12+B13-Q13</f>
        <v>77332.922999999981</v>
      </c>
    </row>
    <row r="14" spans="1:20">
      <c r="A14" s="3" t="s">
        <v>2</v>
      </c>
      <c r="B14" s="5">
        <v>20270.36</v>
      </c>
      <c r="C14" s="44"/>
      <c r="D14" s="3">
        <v>2901.9150000000004</v>
      </c>
      <c r="E14" s="3">
        <v>1082.0700000000002</v>
      </c>
      <c r="F14" s="3">
        <v>491.85</v>
      </c>
      <c r="G14" s="3">
        <v>7989.99</v>
      </c>
      <c r="H14" s="3"/>
      <c r="I14" s="3">
        <v>491.85</v>
      </c>
      <c r="J14" s="3">
        <v>295.11</v>
      </c>
      <c r="K14" s="3"/>
      <c r="L14" s="3">
        <v>625</v>
      </c>
      <c r="M14" s="3">
        <v>442.67</v>
      </c>
      <c r="N14" s="3">
        <v>8086.83</v>
      </c>
      <c r="O14" s="3">
        <v>1632.94</v>
      </c>
      <c r="P14" s="3">
        <v>10047.6</v>
      </c>
      <c r="Q14" s="3">
        <f t="shared" si="1"/>
        <v>34087.825000000004</v>
      </c>
      <c r="R14" s="3">
        <f>R13+B14-Q14</f>
        <v>63515.457999999977</v>
      </c>
    </row>
    <row r="15" spans="1:20">
      <c r="A15" s="3" t="s">
        <v>3</v>
      </c>
      <c r="B15" s="5">
        <v>25842.37</v>
      </c>
      <c r="C15" s="44"/>
      <c r="D15" s="3">
        <v>2901.9150000000004</v>
      </c>
      <c r="E15" s="3">
        <v>1082.0700000000002</v>
      </c>
      <c r="F15" s="3">
        <v>491.85</v>
      </c>
      <c r="G15" s="3"/>
      <c r="H15" s="3">
        <v>3740</v>
      </c>
      <c r="I15" s="3">
        <v>491.85</v>
      </c>
      <c r="J15" s="3">
        <v>295.11</v>
      </c>
      <c r="K15" s="3"/>
      <c r="L15" s="3"/>
      <c r="M15" s="3">
        <v>442.67</v>
      </c>
      <c r="N15" s="3">
        <v>4189.1400000000003</v>
      </c>
      <c r="O15" s="3">
        <v>1632.94</v>
      </c>
      <c r="P15" s="3">
        <v>8791.65</v>
      </c>
      <c r="Q15" s="3">
        <f t="shared" si="1"/>
        <v>24059.195000000003</v>
      </c>
      <c r="R15" s="3">
        <f>R14+B15-Q15</f>
        <v>65298.632999999973</v>
      </c>
    </row>
    <row r="16" spans="1:20">
      <c r="A16" s="3" t="s">
        <v>4</v>
      </c>
      <c r="B16" s="5">
        <v>21859.66</v>
      </c>
      <c r="C16" s="44"/>
      <c r="D16" s="3">
        <v>2901.9150000000004</v>
      </c>
      <c r="E16" s="3">
        <v>1082.0700000000002</v>
      </c>
      <c r="F16" s="3">
        <v>491.85</v>
      </c>
      <c r="G16" s="3"/>
      <c r="H16" s="3"/>
      <c r="I16" s="3">
        <v>491.85</v>
      </c>
      <c r="J16" s="3">
        <v>295.11</v>
      </c>
      <c r="K16" s="3"/>
      <c r="L16" s="3">
        <v>850.4</v>
      </c>
      <c r="M16" s="3">
        <v>442.67</v>
      </c>
      <c r="N16" s="3">
        <v>2781.32</v>
      </c>
      <c r="O16" s="3">
        <v>1632.94</v>
      </c>
      <c r="P16" s="3">
        <v>12140.85</v>
      </c>
      <c r="Q16" s="3">
        <f t="shared" si="1"/>
        <v>23110.975000000002</v>
      </c>
      <c r="R16" s="3">
        <f>R15+B16-Q16</f>
        <v>64047.31799999997</v>
      </c>
    </row>
    <row r="17" spans="1:18">
      <c r="A17" s="3" t="s">
        <v>5</v>
      </c>
      <c r="B17" s="5">
        <v>21010.81</v>
      </c>
      <c r="C17" s="44"/>
      <c r="D17" s="3">
        <v>2901.9150000000004</v>
      </c>
      <c r="E17" s="3">
        <v>1082.0700000000002</v>
      </c>
      <c r="F17" s="3">
        <v>491.85</v>
      </c>
      <c r="G17" s="3"/>
      <c r="H17" s="3"/>
      <c r="I17" s="3">
        <v>491.85</v>
      </c>
      <c r="J17" s="3">
        <v>295.11</v>
      </c>
      <c r="K17" s="3"/>
      <c r="L17" s="3">
        <v>550</v>
      </c>
      <c r="M17" s="3">
        <v>442.67</v>
      </c>
      <c r="N17" s="3">
        <v>34367.19</v>
      </c>
      <c r="O17" s="3">
        <v>1632.94</v>
      </c>
      <c r="P17" s="3">
        <v>16327.35</v>
      </c>
      <c r="Q17" s="3">
        <f t="shared" si="1"/>
        <v>58582.945000000007</v>
      </c>
      <c r="R17" s="3">
        <f>R16+B17-Q17</f>
        <v>26475.182999999961</v>
      </c>
    </row>
    <row r="18" spans="1:18" s="45" customFormat="1">
      <c r="A18" s="6" t="s">
        <v>81</v>
      </c>
      <c r="B18" s="10">
        <f>SUM(B12:B17)</f>
        <v>143490.97</v>
      </c>
      <c r="C18" s="10">
        <f t="shared" ref="C18:Q18" si="2">SUM(C12:C17)</f>
        <v>0</v>
      </c>
      <c r="D18" s="10">
        <f t="shared" si="2"/>
        <v>17411.490000000002</v>
      </c>
      <c r="E18" s="10">
        <f t="shared" si="2"/>
        <v>6492.42</v>
      </c>
      <c r="F18" s="10">
        <f t="shared" si="2"/>
        <v>2951.1</v>
      </c>
      <c r="G18" s="10">
        <f t="shared" si="2"/>
        <v>7989.99</v>
      </c>
      <c r="H18" s="10">
        <f t="shared" si="2"/>
        <v>3740</v>
      </c>
      <c r="I18" s="10">
        <f t="shared" si="2"/>
        <v>2951.1</v>
      </c>
      <c r="J18" s="10">
        <f t="shared" si="2"/>
        <v>1770.6600000000003</v>
      </c>
      <c r="K18" s="10">
        <f t="shared" si="2"/>
        <v>0</v>
      </c>
      <c r="L18" s="10">
        <f t="shared" si="2"/>
        <v>2410.4</v>
      </c>
      <c r="M18" s="10">
        <f t="shared" si="2"/>
        <v>2656.0150000000003</v>
      </c>
      <c r="N18" s="10">
        <f t="shared" si="2"/>
        <v>58357.62</v>
      </c>
      <c r="O18" s="10">
        <f t="shared" si="2"/>
        <v>9797.6420000000016</v>
      </c>
      <c r="P18" s="10">
        <f t="shared" si="2"/>
        <v>69495.899999999994</v>
      </c>
      <c r="Q18" s="10">
        <f t="shared" si="2"/>
        <v>186024.33700000003</v>
      </c>
      <c r="R18" s="6"/>
    </row>
    <row r="19" spans="1:18" s="43" customFormat="1">
      <c r="A19" s="41">
        <v>42.2</v>
      </c>
      <c r="B19" s="41"/>
      <c r="C19" s="42">
        <v>0.6</v>
      </c>
      <c r="D19" s="41">
        <v>2.65</v>
      </c>
      <c r="E19" s="41">
        <v>0.9</v>
      </c>
      <c r="F19" s="41">
        <v>0.5</v>
      </c>
      <c r="G19" s="41">
        <v>0.6</v>
      </c>
      <c r="H19" s="41">
        <v>0.4</v>
      </c>
      <c r="I19" s="41">
        <v>0.4</v>
      </c>
      <c r="J19" s="41">
        <v>0.3</v>
      </c>
      <c r="K19" s="41">
        <v>0.11</v>
      </c>
      <c r="L19" s="41">
        <v>0.04</v>
      </c>
      <c r="M19" s="41">
        <v>0.95</v>
      </c>
      <c r="N19" s="55" t="s">
        <v>92</v>
      </c>
      <c r="O19" s="41">
        <v>1.81</v>
      </c>
      <c r="P19" s="41">
        <v>25.63</v>
      </c>
      <c r="Q19" s="41"/>
      <c r="R19" s="3">
        <f>R17+B19-Q19</f>
        <v>26475.182999999961</v>
      </c>
    </row>
    <row r="20" spans="1:18">
      <c r="A20" s="3" t="s">
        <v>6</v>
      </c>
      <c r="B20" s="5">
        <v>20668.46</v>
      </c>
      <c r="C20" s="44">
        <f t="shared" ref="C20:C25" si="3">B20*2.5/100</f>
        <v>516.71149999999989</v>
      </c>
      <c r="D20" s="3">
        <f>D19*983.7</f>
        <v>2606.8049999999998</v>
      </c>
      <c r="E20" s="3">
        <f t="shared" ref="E20:O20" si="4">E19*983.7</f>
        <v>885.33</v>
      </c>
      <c r="F20" s="3">
        <f t="shared" si="4"/>
        <v>491.85</v>
      </c>
      <c r="G20" s="3"/>
      <c r="H20" s="3"/>
      <c r="I20" s="3">
        <f t="shared" si="4"/>
        <v>393.48</v>
      </c>
      <c r="J20" s="3">
        <f t="shared" si="4"/>
        <v>295.11</v>
      </c>
      <c r="K20" s="3">
        <f t="shared" si="4"/>
        <v>108.20700000000001</v>
      </c>
      <c r="L20" s="3"/>
      <c r="M20" s="3">
        <f t="shared" si="4"/>
        <v>934.51499999999999</v>
      </c>
      <c r="N20" s="74">
        <v>1753.7</v>
      </c>
      <c r="O20" s="3">
        <f t="shared" si="4"/>
        <v>1780.4970000000001</v>
      </c>
      <c r="P20" s="3">
        <v>17583.3</v>
      </c>
      <c r="Q20" s="11">
        <f>SUM(C20:P20)</f>
        <v>27349.505499999999</v>
      </c>
      <c r="R20" s="3">
        <f t="shared" ref="R20:R25" si="5">R19+B20-Q20</f>
        <v>19794.137499999961</v>
      </c>
    </row>
    <row r="21" spans="1:18">
      <c r="A21" s="3" t="s">
        <v>7</v>
      </c>
      <c r="B21" s="5">
        <v>22746.39</v>
      </c>
      <c r="C21" s="44">
        <f t="shared" si="3"/>
        <v>568.65975000000003</v>
      </c>
      <c r="D21" s="3">
        <v>2606.8049999999998</v>
      </c>
      <c r="E21" s="3">
        <v>885.33</v>
      </c>
      <c r="F21" s="3">
        <v>491.85</v>
      </c>
      <c r="G21" s="3"/>
      <c r="H21" s="3"/>
      <c r="I21" s="3">
        <v>393.48</v>
      </c>
      <c r="J21" s="3">
        <v>295.11</v>
      </c>
      <c r="K21" s="3">
        <v>108.21</v>
      </c>
      <c r="L21" s="3"/>
      <c r="M21" s="3">
        <v>934.51499999999999</v>
      </c>
      <c r="N21" s="74">
        <v>2394.17</v>
      </c>
      <c r="O21" s="3">
        <v>1780.4970000000001</v>
      </c>
      <c r="P21" s="3">
        <v>18001.95</v>
      </c>
      <c r="Q21" s="11">
        <f t="shared" ref="Q21:Q25" si="6">SUM(C21:P21)</f>
        <v>28460.57675</v>
      </c>
      <c r="R21" s="3">
        <f t="shared" si="5"/>
        <v>14079.95074999996</v>
      </c>
    </row>
    <row r="22" spans="1:18">
      <c r="A22" s="3" t="s">
        <v>8</v>
      </c>
      <c r="B22" s="5">
        <v>36560.53</v>
      </c>
      <c r="C22" s="44">
        <f t="shared" si="3"/>
        <v>914.01324999999997</v>
      </c>
      <c r="D22" s="3">
        <v>2606.8049999999998</v>
      </c>
      <c r="E22" s="3">
        <v>885.33</v>
      </c>
      <c r="F22" s="3">
        <v>491.85</v>
      </c>
      <c r="G22" s="3"/>
      <c r="H22" s="3"/>
      <c r="I22" s="3">
        <v>393.48</v>
      </c>
      <c r="J22" s="3">
        <v>295.11</v>
      </c>
      <c r="K22" s="3">
        <v>108.21</v>
      </c>
      <c r="L22" s="3"/>
      <c r="M22" s="3">
        <v>934.51499999999999</v>
      </c>
      <c r="N22" s="3">
        <v>352.95</v>
      </c>
      <c r="O22" s="3">
        <v>1780.4970000000001</v>
      </c>
      <c r="P22" s="3">
        <v>16327.35</v>
      </c>
      <c r="Q22" s="11">
        <f t="shared" si="6"/>
        <v>25090.110249999998</v>
      </c>
      <c r="R22" s="3">
        <f t="shared" si="5"/>
        <v>25550.370499999961</v>
      </c>
    </row>
    <row r="23" spans="1:18">
      <c r="A23" s="3" t="s">
        <v>9</v>
      </c>
      <c r="B23" s="5">
        <v>24512.720000000001</v>
      </c>
      <c r="C23" s="44">
        <f t="shared" si="3"/>
        <v>612.81799999999998</v>
      </c>
      <c r="D23" s="3">
        <v>2606.8049999999998</v>
      </c>
      <c r="E23" s="3">
        <v>885.33</v>
      </c>
      <c r="F23" s="3">
        <v>491.85</v>
      </c>
      <c r="G23" s="3"/>
      <c r="H23" s="3"/>
      <c r="I23" s="3">
        <v>393.48</v>
      </c>
      <c r="J23" s="3">
        <v>295.11</v>
      </c>
      <c r="K23" s="3">
        <v>108.21</v>
      </c>
      <c r="L23" s="3"/>
      <c r="M23" s="3">
        <v>934.51499999999999</v>
      </c>
      <c r="N23" s="3">
        <v>2298.9899999999998</v>
      </c>
      <c r="O23" s="3">
        <f>D4*2.16</f>
        <v>2124.7920000000004</v>
      </c>
      <c r="P23" s="3">
        <v>15490.05</v>
      </c>
      <c r="Q23" s="11">
        <f t="shared" si="6"/>
        <v>26241.95</v>
      </c>
      <c r="R23" s="3">
        <f t="shared" si="5"/>
        <v>23821.140499999961</v>
      </c>
    </row>
    <row r="24" spans="1:18">
      <c r="A24" s="3" t="s">
        <v>10</v>
      </c>
      <c r="B24" s="5">
        <v>24114.2</v>
      </c>
      <c r="C24" s="44">
        <f t="shared" si="3"/>
        <v>602.85500000000002</v>
      </c>
      <c r="D24" s="3">
        <v>2606.8049999999998</v>
      </c>
      <c r="E24" s="3">
        <v>885.33</v>
      </c>
      <c r="F24" s="3">
        <v>491.85</v>
      </c>
      <c r="G24" s="3"/>
      <c r="H24" s="3"/>
      <c r="I24" s="3">
        <v>393.48</v>
      </c>
      <c r="J24" s="3">
        <v>295.11</v>
      </c>
      <c r="K24" s="3">
        <v>108.21</v>
      </c>
      <c r="L24" s="3"/>
      <c r="M24" s="3">
        <v>934.51499999999999</v>
      </c>
      <c r="N24" s="3">
        <v>2254.0700000000002</v>
      </c>
      <c r="O24" s="3">
        <f>O23</f>
        <v>2124.7920000000004</v>
      </c>
      <c r="P24" s="3">
        <v>14234.1</v>
      </c>
      <c r="Q24" s="11">
        <f t="shared" si="6"/>
        <v>24931.116999999998</v>
      </c>
      <c r="R24" s="3">
        <f t="shared" si="5"/>
        <v>23004.223499999964</v>
      </c>
    </row>
    <row r="25" spans="1:18">
      <c r="A25" s="3" t="s">
        <v>11</v>
      </c>
      <c r="B25" s="5">
        <v>23069.18</v>
      </c>
      <c r="C25" s="44">
        <f t="shared" si="3"/>
        <v>576.72949999999992</v>
      </c>
      <c r="D25" s="3">
        <v>2606.8049999999998</v>
      </c>
      <c r="E25" s="3">
        <v>885.33</v>
      </c>
      <c r="F25" s="3">
        <v>491.85</v>
      </c>
      <c r="G25" s="3"/>
      <c r="H25" s="3"/>
      <c r="I25" s="3">
        <v>393.48</v>
      </c>
      <c r="J25" s="3">
        <v>295.11</v>
      </c>
      <c r="K25" s="3">
        <v>108.21</v>
      </c>
      <c r="L25" s="3"/>
      <c r="M25" s="3">
        <v>934.51499999999999</v>
      </c>
      <c r="N25" s="3">
        <v>73.55</v>
      </c>
      <c r="O25" s="3">
        <f>O24</f>
        <v>2124.7920000000004</v>
      </c>
      <c r="P25" s="3">
        <v>11303.55</v>
      </c>
      <c r="Q25" s="11">
        <f t="shared" si="6"/>
        <v>19793.9215</v>
      </c>
      <c r="R25" s="17">
        <f t="shared" si="5"/>
        <v>26279.481999999964</v>
      </c>
    </row>
    <row r="26" spans="1:18" s="45" customFormat="1" ht="15.75" thickBot="1">
      <c r="A26" s="6" t="s">
        <v>82</v>
      </c>
      <c r="B26" s="10">
        <f>SUM(B20:B25)</f>
        <v>151671.48000000001</v>
      </c>
      <c r="C26" s="10">
        <f t="shared" ref="C26:Q26" si="7">SUM(C20:C25)</f>
        <v>3791.7869999999998</v>
      </c>
      <c r="D26" s="10">
        <f t="shared" si="7"/>
        <v>15640.83</v>
      </c>
      <c r="E26" s="10">
        <f t="shared" si="7"/>
        <v>5311.9800000000005</v>
      </c>
      <c r="F26" s="10">
        <f t="shared" si="7"/>
        <v>2951.1</v>
      </c>
      <c r="G26" s="10">
        <f t="shared" si="7"/>
        <v>0</v>
      </c>
      <c r="H26" s="10">
        <f t="shared" si="7"/>
        <v>0</v>
      </c>
      <c r="I26" s="10">
        <f t="shared" si="7"/>
        <v>2360.88</v>
      </c>
      <c r="J26" s="10">
        <f t="shared" si="7"/>
        <v>1770.6600000000003</v>
      </c>
      <c r="K26" s="10">
        <f t="shared" si="7"/>
        <v>649.25700000000006</v>
      </c>
      <c r="L26" s="10">
        <f t="shared" si="7"/>
        <v>0</v>
      </c>
      <c r="M26" s="10">
        <f t="shared" si="7"/>
        <v>5607.09</v>
      </c>
      <c r="N26" s="10">
        <f t="shared" si="7"/>
        <v>9127.4299999999985</v>
      </c>
      <c r="O26" s="10">
        <f t="shared" si="7"/>
        <v>11715.867000000002</v>
      </c>
      <c r="P26" s="10">
        <f t="shared" si="7"/>
        <v>92940.3</v>
      </c>
      <c r="Q26" s="10">
        <f t="shared" si="7"/>
        <v>151867.18099999998</v>
      </c>
      <c r="R26" s="51"/>
    </row>
    <row r="27" spans="1:18" s="47" customFormat="1" ht="15.75" thickBot="1">
      <c r="A27" s="46" t="s">
        <v>51</v>
      </c>
      <c r="B27" s="46">
        <f>B18+B26</f>
        <v>295162.45</v>
      </c>
      <c r="C27" s="46">
        <f t="shared" ref="C27:Q27" si="8">C18+C26</f>
        <v>3791.7869999999998</v>
      </c>
      <c r="D27" s="46">
        <f t="shared" si="8"/>
        <v>33052.32</v>
      </c>
      <c r="E27" s="46">
        <f t="shared" si="8"/>
        <v>11804.400000000001</v>
      </c>
      <c r="F27" s="46">
        <f t="shared" si="8"/>
        <v>5902.2</v>
      </c>
      <c r="G27" s="46">
        <f t="shared" si="8"/>
        <v>7989.99</v>
      </c>
      <c r="H27" s="46">
        <f t="shared" si="8"/>
        <v>3740</v>
      </c>
      <c r="I27" s="46">
        <f t="shared" si="8"/>
        <v>5311.98</v>
      </c>
      <c r="J27" s="46">
        <f t="shared" si="8"/>
        <v>3541.3200000000006</v>
      </c>
      <c r="K27" s="46">
        <f t="shared" si="8"/>
        <v>649.25700000000006</v>
      </c>
      <c r="L27" s="46">
        <f t="shared" si="8"/>
        <v>2410.4</v>
      </c>
      <c r="M27" s="46">
        <f t="shared" si="8"/>
        <v>8263.1049999999996</v>
      </c>
      <c r="N27" s="46">
        <f t="shared" si="8"/>
        <v>67485.05</v>
      </c>
      <c r="O27" s="46">
        <f t="shared" si="8"/>
        <v>21513.509000000005</v>
      </c>
      <c r="P27" s="46">
        <f t="shared" si="8"/>
        <v>162436.20000000001</v>
      </c>
      <c r="Q27" s="46">
        <f t="shared" si="8"/>
        <v>337891.51800000004</v>
      </c>
      <c r="R27" s="52">
        <f>D7+B27-Q27</f>
        <v>26279.48199999996</v>
      </c>
    </row>
    <row r="29" spans="1:18">
      <c r="A29" s="102" t="s">
        <v>65</v>
      </c>
      <c r="B29" s="102"/>
      <c r="C29" s="102"/>
      <c r="D29" s="102"/>
      <c r="E29" s="3">
        <v>160</v>
      </c>
      <c r="G29" s="112"/>
      <c r="H29" s="112"/>
    </row>
    <row r="30" spans="1:18">
      <c r="A30" s="23" t="s">
        <v>66</v>
      </c>
      <c r="B30" s="23"/>
      <c r="C30" s="33"/>
      <c r="D30" s="23"/>
      <c r="E30" s="3">
        <v>225</v>
      </c>
      <c r="G30" s="112"/>
      <c r="H30" s="112"/>
    </row>
    <row r="31" spans="1:18">
      <c r="A31" s="102" t="s">
        <v>56</v>
      </c>
      <c r="B31" s="102"/>
      <c r="C31" s="102"/>
      <c r="D31" s="102"/>
      <c r="E31" s="3">
        <v>850.4</v>
      </c>
      <c r="G31" s="112"/>
      <c r="H31" s="112"/>
    </row>
    <row r="32" spans="1:18">
      <c r="A32" s="102" t="s">
        <v>68</v>
      </c>
      <c r="B32" s="102"/>
      <c r="C32" s="102"/>
      <c r="D32" s="102"/>
      <c r="E32" s="3">
        <v>625</v>
      </c>
      <c r="G32" s="112"/>
      <c r="H32" s="112"/>
    </row>
    <row r="33" spans="1:8" ht="28.9" customHeight="1">
      <c r="A33" s="125" t="s">
        <v>72</v>
      </c>
      <c r="B33" s="125"/>
      <c r="C33" s="125"/>
      <c r="D33" s="125"/>
      <c r="E33" s="15">
        <v>550</v>
      </c>
      <c r="F33" s="28"/>
      <c r="G33" s="124"/>
      <c r="H33" s="124"/>
    </row>
    <row r="34" spans="1:8">
      <c r="A34" s="102" t="s">
        <v>52</v>
      </c>
      <c r="B34" s="102"/>
      <c r="C34" s="102"/>
      <c r="D34" s="102"/>
      <c r="E34" s="102"/>
      <c r="F34" s="102"/>
      <c r="G34" s="106">
        <v>8493</v>
      </c>
      <c r="H34" s="106"/>
    </row>
    <row r="35" spans="1:8">
      <c r="A35" s="102" t="s">
        <v>53</v>
      </c>
      <c r="B35" s="102"/>
      <c r="C35" s="102"/>
      <c r="D35" s="102"/>
      <c r="E35" s="102"/>
      <c r="F35" s="102"/>
      <c r="G35" s="106">
        <v>8380</v>
      </c>
      <c r="H35" s="106"/>
    </row>
    <row r="36" spans="1:8">
      <c r="A36" s="102" t="s">
        <v>54</v>
      </c>
      <c r="B36" s="102"/>
      <c r="C36" s="102"/>
      <c r="D36" s="102"/>
      <c r="E36" s="102"/>
      <c r="F36" s="102"/>
      <c r="G36" s="106">
        <v>2725.8</v>
      </c>
      <c r="H36" s="106"/>
    </row>
    <row r="37" spans="1:8">
      <c r="A37" s="102" t="s">
        <v>52</v>
      </c>
      <c r="B37" s="102"/>
      <c r="C37" s="102"/>
      <c r="D37" s="102"/>
      <c r="E37" s="102"/>
      <c r="F37" s="102"/>
      <c r="G37" s="106">
        <v>1000</v>
      </c>
      <c r="H37" s="106"/>
    </row>
    <row r="38" spans="1:8">
      <c r="A38" s="128"/>
      <c r="B38" s="129"/>
      <c r="C38" s="129"/>
      <c r="D38" s="129"/>
      <c r="E38" s="129"/>
      <c r="F38" s="130"/>
      <c r="G38" s="126">
        <f>SUM(G34:H37)</f>
        <v>20598.8</v>
      </c>
      <c r="H38" s="127"/>
    </row>
    <row r="39" spans="1:8">
      <c r="A39" s="102" t="s">
        <v>73</v>
      </c>
      <c r="B39" s="102"/>
      <c r="C39" s="102"/>
      <c r="D39" s="102"/>
      <c r="E39" s="102"/>
      <c r="F39" s="102"/>
      <c r="G39" s="106">
        <v>33300</v>
      </c>
      <c r="H39" s="106"/>
    </row>
  </sheetData>
  <mergeCells count="44">
    <mergeCell ref="A38:F38"/>
    <mergeCell ref="A37:F37"/>
    <mergeCell ref="G37:H37"/>
    <mergeCell ref="G34:H34"/>
    <mergeCell ref="A34:F34"/>
    <mergeCell ref="A35:F35"/>
    <mergeCell ref="G35:H35"/>
    <mergeCell ref="A36:F36"/>
    <mergeCell ref="G36:H36"/>
    <mergeCell ref="A39:F39"/>
    <mergeCell ref="A5:B5"/>
    <mergeCell ref="N2:R2"/>
    <mergeCell ref="Q3:R3"/>
    <mergeCell ref="Q4:R4"/>
    <mergeCell ref="Q5:R5"/>
    <mergeCell ref="G33:H33"/>
    <mergeCell ref="A29:D29"/>
    <mergeCell ref="A31:D31"/>
    <mergeCell ref="A32:D32"/>
    <mergeCell ref="A33:D33"/>
    <mergeCell ref="Q7:R7"/>
    <mergeCell ref="G32:H32"/>
    <mergeCell ref="G38:H38"/>
    <mergeCell ref="Q6:R6"/>
    <mergeCell ref="G39:H39"/>
    <mergeCell ref="Q9:Q10"/>
    <mergeCell ref="A1:R1"/>
    <mergeCell ref="A3:B3"/>
    <mergeCell ref="D3:E3"/>
    <mergeCell ref="F3:G3"/>
    <mergeCell ref="A4:B4"/>
    <mergeCell ref="R9:R10"/>
    <mergeCell ref="A7:B7"/>
    <mergeCell ref="A9:A10"/>
    <mergeCell ref="B9:B10"/>
    <mergeCell ref="D9:P9"/>
    <mergeCell ref="G29:H29"/>
    <mergeCell ref="G30:H30"/>
    <mergeCell ref="G31:H31"/>
    <mergeCell ref="M3:P3"/>
    <mergeCell ref="M4:P4"/>
    <mergeCell ref="M5:P5"/>
    <mergeCell ref="M6:P6"/>
    <mergeCell ref="M7:P7"/>
  </mergeCells>
  <pageMargins left="0.25" right="0.25" top="0.75" bottom="0.75" header="0.3" footer="0.3"/>
  <pageSetup paperSize="9" scale="89" orientation="landscape" verticalDpi="0" r:id="rId1"/>
  <rowBreaks count="1" manualBreakCount="1">
    <brk id="2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/>
  </sheetPr>
  <dimension ref="A1:T26"/>
  <sheetViews>
    <sheetView tabSelected="1" workbookViewId="0">
      <selection activeCell="H11" sqref="H11"/>
    </sheetView>
  </sheetViews>
  <sheetFormatPr defaultRowHeight="15"/>
  <cols>
    <col min="1" max="1" width="14.5703125" customWidth="1"/>
    <col min="2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6.42578125" customWidth="1"/>
    <col min="16" max="16" width="7.5703125" customWidth="1"/>
    <col min="17" max="17" width="8.7109375" customWidth="1"/>
    <col min="18" max="18" width="9.28515625" customWidth="1"/>
    <col min="19" max="19" width="9.140625" style="27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49</v>
      </c>
      <c r="G3" s="95"/>
      <c r="H3" s="8" t="s">
        <v>40</v>
      </c>
      <c r="N3" s="93" t="s">
        <v>63</v>
      </c>
      <c r="O3" s="93"/>
      <c r="P3" s="93"/>
      <c r="Q3" s="93"/>
      <c r="R3" s="93"/>
      <c r="S3" s="92"/>
    </row>
    <row r="4" spans="1:20" ht="15.75" thickBot="1">
      <c r="A4" s="94" t="s">
        <v>14</v>
      </c>
      <c r="B4" s="95"/>
      <c r="C4" s="31"/>
      <c r="D4" s="1">
        <v>130.19999999999999</v>
      </c>
      <c r="E4" s="8" t="s">
        <v>27</v>
      </c>
      <c r="N4" s="97" t="s">
        <v>61</v>
      </c>
      <c r="O4" s="97"/>
      <c r="P4" s="97"/>
      <c r="Q4" s="97"/>
      <c r="R4" s="91"/>
      <c r="S4" s="92"/>
    </row>
    <row r="5" spans="1:20" ht="15.75" thickBot="1">
      <c r="A5" s="94" t="s">
        <v>13</v>
      </c>
      <c r="B5" s="95"/>
      <c r="C5" s="31"/>
      <c r="D5" s="1">
        <v>2</v>
      </c>
      <c r="N5" s="97" t="s">
        <v>84</v>
      </c>
      <c r="O5" s="97"/>
      <c r="P5" s="97"/>
      <c r="Q5" s="97"/>
      <c r="R5" s="91"/>
      <c r="S5" s="92"/>
    </row>
    <row r="6" spans="1:20" ht="15.75" thickBot="1">
      <c r="A6" s="94" t="s">
        <v>15</v>
      </c>
      <c r="B6" s="95"/>
      <c r="C6" s="31"/>
      <c r="D6" s="1">
        <v>2890.2</v>
      </c>
      <c r="N6" s="97" t="s">
        <v>62</v>
      </c>
      <c r="O6" s="97"/>
      <c r="P6" s="97"/>
      <c r="Q6" s="97"/>
      <c r="R6" s="91"/>
      <c r="S6" s="92"/>
    </row>
    <row r="7" spans="1:20">
      <c r="N7" s="102" t="s">
        <v>64</v>
      </c>
      <c r="O7" s="97"/>
      <c r="P7" s="97"/>
      <c r="Q7" s="97"/>
      <c r="R7" s="74">
        <f>SUM(R4:S6)</f>
        <v>0</v>
      </c>
      <c r="S7" s="76"/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31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82" t="s">
        <v>86</v>
      </c>
      <c r="O9" s="4" t="s">
        <v>28</v>
      </c>
      <c r="P9" s="12" t="s">
        <v>29</v>
      </c>
      <c r="Q9" s="103"/>
      <c r="R9" s="132"/>
      <c r="S9" s="88"/>
      <c r="T9" s="2"/>
    </row>
    <row r="10" spans="1:20">
      <c r="A10" s="9">
        <v>14.41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83">
        <v>5.7</v>
      </c>
      <c r="O10" s="4">
        <v>1.66</v>
      </c>
      <c r="P10" s="4"/>
      <c r="Q10" s="3"/>
      <c r="R10" s="16"/>
    </row>
    <row r="11" spans="1:20">
      <c r="A11" s="3" t="s">
        <v>0</v>
      </c>
      <c r="B11" s="5">
        <v>5860.72</v>
      </c>
      <c r="C11" s="44"/>
      <c r="D11" s="3">
        <f>D10*130.2</f>
        <v>384.09</v>
      </c>
      <c r="E11" s="3">
        <f t="shared" ref="E11:O11" si="0">E10*130.2</f>
        <v>143.22</v>
      </c>
      <c r="F11" s="3">
        <f t="shared" si="0"/>
        <v>65.099999999999994</v>
      </c>
      <c r="G11" s="3"/>
      <c r="H11" s="3"/>
      <c r="I11" s="3">
        <f t="shared" si="0"/>
        <v>65.099999999999994</v>
      </c>
      <c r="J11" s="3"/>
      <c r="K11" s="3"/>
      <c r="L11" s="3"/>
      <c r="M11" s="3">
        <f t="shared" si="0"/>
        <v>58.589999999999996</v>
      </c>
      <c r="N11" s="3"/>
      <c r="O11" s="3">
        <f t="shared" si="0"/>
        <v>216.13199999999998</v>
      </c>
      <c r="P11" s="3"/>
      <c r="Q11" s="3">
        <f t="shared" ref="Q11:Q16" si="1">SUM(D11:P11)</f>
        <v>932.23199999999997</v>
      </c>
      <c r="R11" s="16">
        <f>D6+B11-Q11</f>
        <v>7818.6880000000001</v>
      </c>
    </row>
    <row r="12" spans="1:20">
      <c r="A12" s="3" t="s">
        <v>1</v>
      </c>
      <c r="B12" s="13">
        <v>5244.35</v>
      </c>
      <c r="C12" s="44"/>
      <c r="D12" s="3">
        <v>384.09</v>
      </c>
      <c r="E12" s="3">
        <v>143.22</v>
      </c>
      <c r="F12" s="3">
        <v>65.099999999999994</v>
      </c>
      <c r="G12" s="3"/>
      <c r="H12" s="3"/>
      <c r="I12" s="3">
        <v>65.099999999999994</v>
      </c>
      <c r="J12" s="3"/>
      <c r="K12" s="3"/>
      <c r="L12" s="3"/>
      <c r="M12" s="3">
        <v>58.589999999999996</v>
      </c>
      <c r="N12" s="3">
        <v>27.8</v>
      </c>
      <c r="O12" s="3">
        <v>216.13199999999998</v>
      </c>
      <c r="P12" s="3"/>
      <c r="Q12" s="3">
        <f t="shared" si="1"/>
        <v>960.03199999999993</v>
      </c>
      <c r="R12" s="16">
        <f>R11+B12-Q12</f>
        <v>12103.006000000001</v>
      </c>
    </row>
    <row r="13" spans="1:20">
      <c r="A13" s="3" t="s">
        <v>2</v>
      </c>
      <c r="B13" s="5">
        <v>938.09</v>
      </c>
      <c r="C13" s="44"/>
      <c r="D13" s="3">
        <v>384.09</v>
      </c>
      <c r="E13" s="3">
        <v>143.22</v>
      </c>
      <c r="F13" s="3">
        <v>65.099999999999994</v>
      </c>
      <c r="G13" s="3"/>
      <c r="H13" s="3"/>
      <c r="I13" s="3">
        <v>65.099999999999994</v>
      </c>
      <c r="J13" s="3"/>
      <c r="K13" s="3"/>
      <c r="L13" s="3"/>
      <c r="M13" s="3">
        <v>58.589999999999996</v>
      </c>
      <c r="N13" s="3"/>
      <c r="O13" s="3">
        <v>216.13199999999998</v>
      </c>
      <c r="P13" s="3"/>
      <c r="Q13" s="3">
        <f t="shared" si="1"/>
        <v>932.23199999999997</v>
      </c>
      <c r="R13" s="16">
        <f>R12+B13-Q13</f>
        <v>12108.864000000001</v>
      </c>
    </row>
    <row r="14" spans="1:20">
      <c r="A14" s="3" t="s">
        <v>3</v>
      </c>
      <c r="B14" s="5">
        <v>7450.26</v>
      </c>
      <c r="C14" s="44"/>
      <c r="D14" s="3">
        <v>384.09</v>
      </c>
      <c r="E14" s="3">
        <v>143.22</v>
      </c>
      <c r="F14" s="3">
        <v>65.099999999999994</v>
      </c>
      <c r="G14" s="3"/>
      <c r="H14" s="3"/>
      <c r="I14" s="3">
        <v>65.099999999999994</v>
      </c>
      <c r="J14" s="3"/>
      <c r="K14" s="3"/>
      <c r="L14" s="3"/>
      <c r="M14" s="3">
        <v>58.589999999999996</v>
      </c>
      <c r="N14" s="3"/>
      <c r="O14" s="3">
        <v>216.13199999999998</v>
      </c>
      <c r="P14" s="3"/>
      <c r="Q14" s="3">
        <f t="shared" si="1"/>
        <v>932.23199999999997</v>
      </c>
      <c r="R14" s="16">
        <f>R13+B14-Q14</f>
        <v>18626.892000000003</v>
      </c>
    </row>
    <row r="15" spans="1:20">
      <c r="A15" s="3" t="s">
        <v>4</v>
      </c>
      <c r="B15" s="5">
        <v>3463.93</v>
      </c>
      <c r="C15" s="44"/>
      <c r="D15" s="3">
        <v>384.09</v>
      </c>
      <c r="E15" s="3">
        <v>143.22</v>
      </c>
      <c r="F15" s="3">
        <v>65.099999999999994</v>
      </c>
      <c r="G15" s="3"/>
      <c r="H15" s="3"/>
      <c r="I15" s="3">
        <v>65.099999999999994</v>
      </c>
      <c r="J15" s="3"/>
      <c r="K15" s="3"/>
      <c r="L15" s="3"/>
      <c r="M15" s="3">
        <v>58.589999999999996</v>
      </c>
      <c r="N15" s="3"/>
      <c r="O15" s="3">
        <v>216.13199999999998</v>
      </c>
      <c r="P15" s="3"/>
      <c r="Q15" s="3">
        <f t="shared" si="1"/>
        <v>932.23199999999997</v>
      </c>
      <c r="R15" s="16">
        <f>R14+B15-Q15</f>
        <v>21158.590000000004</v>
      </c>
    </row>
    <row r="16" spans="1:20">
      <c r="A16" s="3" t="s">
        <v>5</v>
      </c>
      <c r="B16" s="5">
        <v>5137.9399999999996</v>
      </c>
      <c r="C16" s="44"/>
      <c r="D16" s="3">
        <v>384.09</v>
      </c>
      <c r="E16" s="3">
        <v>143.22</v>
      </c>
      <c r="F16" s="3">
        <v>65.099999999999994</v>
      </c>
      <c r="G16" s="3"/>
      <c r="H16" s="3"/>
      <c r="I16" s="3">
        <v>65.099999999999994</v>
      </c>
      <c r="J16" s="3"/>
      <c r="K16" s="3"/>
      <c r="L16" s="3"/>
      <c r="M16" s="3">
        <v>58.589999999999996</v>
      </c>
      <c r="N16" s="3"/>
      <c r="O16" s="3">
        <v>216.13199999999998</v>
      </c>
      <c r="P16" s="3"/>
      <c r="Q16" s="3">
        <f t="shared" si="1"/>
        <v>932.23199999999997</v>
      </c>
      <c r="R16" s="16">
        <f>R15+B16-Q16</f>
        <v>25364.298000000003</v>
      </c>
    </row>
    <row r="17" spans="1:19" s="45" customFormat="1">
      <c r="A17" s="6" t="s">
        <v>81</v>
      </c>
      <c r="B17" s="10">
        <f>SUM(B11:B16)</f>
        <v>28095.289999999997</v>
      </c>
      <c r="C17" s="10">
        <f t="shared" ref="C17:Q17" si="2">SUM(C11:C16)</f>
        <v>0</v>
      </c>
      <c r="D17" s="10">
        <f t="shared" si="2"/>
        <v>2304.54</v>
      </c>
      <c r="E17" s="10">
        <f t="shared" si="2"/>
        <v>859.32</v>
      </c>
      <c r="F17" s="10">
        <f t="shared" si="2"/>
        <v>390.6</v>
      </c>
      <c r="G17" s="10">
        <f t="shared" si="2"/>
        <v>0</v>
      </c>
      <c r="H17" s="10">
        <f t="shared" si="2"/>
        <v>0</v>
      </c>
      <c r="I17" s="10">
        <f t="shared" si="2"/>
        <v>390.6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351.53999999999996</v>
      </c>
      <c r="N17" s="10">
        <f t="shared" si="2"/>
        <v>27.8</v>
      </c>
      <c r="O17" s="10">
        <f t="shared" si="2"/>
        <v>1296.7919999999999</v>
      </c>
      <c r="P17" s="10">
        <f t="shared" si="2"/>
        <v>0</v>
      </c>
      <c r="Q17" s="10">
        <f t="shared" si="2"/>
        <v>5621.192</v>
      </c>
      <c r="R17" s="86"/>
      <c r="S17" s="51"/>
    </row>
    <row r="18" spans="1:19" s="43" customFormat="1">
      <c r="A18" s="41">
        <v>16.57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4">
        <v>6.94</v>
      </c>
      <c r="O18" s="41">
        <v>1.81</v>
      </c>
      <c r="P18" s="41"/>
      <c r="Q18" s="41"/>
      <c r="R18" s="16">
        <f>R16+B18-Q18</f>
        <v>25364.298000000003</v>
      </c>
      <c r="S18" s="89"/>
    </row>
    <row r="19" spans="1:19">
      <c r="A19" s="3" t="s">
        <v>6</v>
      </c>
      <c r="B19" s="5">
        <v>1925.07</v>
      </c>
      <c r="C19" s="44">
        <f t="shared" ref="C19:C24" si="3">B19*2.5/100</f>
        <v>48.126750000000001</v>
      </c>
      <c r="D19" s="3">
        <f>D18*130.2</f>
        <v>345.03</v>
      </c>
      <c r="E19" s="3">
        <f t="shared" ref="E19:O19" si="4">E18*130.2</f>
        <v>117.17999999999999</v>
      </c>
      <c r="F19" s="3">
        <f t="shared" si="4"/>
        <v>65.099999999999994</v>
      </c>
      <c r="G19" s="3"/>
      <c r="H19" s="3"/>
      <c r="I19" s="3">
        <f t="shared" si="4"/>
        <v>52.08</v>
      </c>
      <c r="J19" s="3">
        <f t="shared" si="4"/>
        <v>39.059999999999995</v>
      </c>
      <c r="K19" s="11">
        <f t="shared" si="4"/>
        <v>14.321999999999999</v>
      </c>
      <c r="L19" s="11"/>
      <c r="M19" s="3">
        <f t="shared" si="4"/>
        <v>123.68999999999998</v>
      </c>
      <c r="N19" s="3">
        <v>27.06</v>
      </c>
      <c r="O19" s="3">
        <f t="shared" si="4"/>
        <v>235.66199999999998</v>
      </c>
      <c r="P19" s="3"/>
      <c r="Q19" s="11">
        <f>SUM(C19:P19)</f>
        <v>1067.3107499999999</v>
      </c>
      <c r="R19" s="16">
        <f>R16+B19-Q19</f>
        <v>26222.057250000002</v>
      </c>
    </row>
    <row r="20" spans="1:19">
      <c r="A20" s="3" t="s">
        <v>7</v>
      </c>
      <c r="B20" s="5">
        <v>1078.71</v>
      </c>
      <c r="C20" s="44">
        <f t="shared" si="3"/>
        <v>26.967750000000002</v>
      </c>
      <c r="D20" s="3">
        <v>345.03</v>
      </c>
      <c r="E20" s="3">
        <v>117.17999999999999</v>
      </c>
      <c r="F20" s="3">
        <v>65.099999999999994</v>
      </c>
      <c r="G20" s="3"/>
      <c r="H20" s="3"/>
      <c r="I20" s="3">
        <v>52.08</v>
      </c>
      <c r="J20" s="3">
        <v>39.06</v>
      </c>
      <c r="K20" s="3">
        <v>14.32</v>
      </c>
      <c r="L20" s="3"/>
      <c r="M20" s="3">
        <v>123.68999999999998</v>
      </c>
      <c r="N20" s="3"/>
      <c r="O20" s="3">
        <v>235.66199999999998</v>
      </c>
      <c r="P20" s="3"/>
      <c r="Q20" s="11">
        <f t="shared" ref="Q20:Q24" si="5">SUM(C20:P20)</f>
        <v>1019.0897500000001</v>
      </c>
      <c r="R20" s="16">
        <f>R19+B20-Q20</f>
        <v>26281.677500000002</v>
      </c>
    </row>
    <row r="21" spans="1:19">
      <c r="A21" s="3" t="s">
        <v>8</v>
      </c>
      <c r="B21" s="5">
        <v>1078.71</v>
      </c>
      <c r="C21" s="44">
        <f t="shared" si="3"/>
        <v>26.967750000000002</v>
      </c>
      <c r="D21" s="3">
        <v>345.03</v>
      </c>
      <c r="E21" s="3">
        <v>117.17999999999999</v>
      </c>
      <c r="F21" s="3">
        <v>65.099999999999994</v>
      </c>
      <c r="G21" s="3"/>
      <c r="H21" s="3"/>
      <c r="I21" s="3">
        <v>52.08</v>
      </c>
      <c r="J21" s="3">
        <v>39.06</v>
      </c>
      <c r="K21" s="3">
        <v>14.32</v>
      </c>
      <c r="L21" s="3"/>
      <c r="M21" s="3">
        <v>123.68999999999998</v>
      </c>
      <c r="N21" s="3">
        <v>26.47</v>
      </c>
      <c r="O21" s="3">
        <v>235.66199999999998</v>
      </c>
      <c r="P21" s="3"/>
      <c r="Q21" s="11">
        <f t="shared" si="5"/>
        <v>1045.5597500000001</v>
      </c>
      <c r="R21" s="16">
        <f>R20+B21-Q21</f>
        <v>26314.82775</v>
      </c>
    </row>
    <row r="22" spans="1:19">
      <c r="A22" s="3" t="s">
        <v>9</v>
      </c>
      <c r="B22" s="5">
        <v>1078.71</v>
      </c>
      <c r="C22" s="44">
        <f t="shared" si="3"/>
        <v>26.967750000000002</v>
      </c>
      <c r="D22" s="3">
        <v>345.03</v>
      </c>
      <c r="E22" s="3">
        <v>117.17999999999999</v>
      </c>
      <c r="F22" s="3">
        <v>65.099999999999994</v>
      </c>
      <c r="G22" s="3"/>
      <c r="H22" s="3"/>
      <c r="I22" s="3">
        <v>52.08</v>
      </c>
      <c r="J22" s="3">
        <v>39.06</v>
      </c>
      <c r="K22" s="3">
        <v>14.32</v>
      </c>
      <c r="L22" s="3"/>
      <c r="M22" s="3">
        <v>123.68999999999998</v>
      </c>
      <c r="N22" s="3">
        <v>62.96</v>
      </c>
      <c r="O22" s="3">
        <v>277.33</v>
      </c>
      <c r="P22" s="3"/>
      <c r="Q22" s="11">
        <f t="shared" si="5"/>
        <v>1123.71775</v>
      </c>
      <c r="R22" s="16">
        <f>R21+B22-Q22</f>
        <v>26269.82</v>
      </c>
    </row>
    <row r="23" spans="1:19">
      <c r="A23" s="3" t="s">
        <v>10</v>
      </c>
      <c r="B23" s="5">
        <v>1078.71</v>
      </c>
      <c r="C23" s="44">
        <f t="shared" si="3"/>
        <v>26.967750000000002</v>
      </c>
      <c r="D23" s="3">
        <v>345.03</v>
      </c>
      <c r="E23" s="3">
        <v>117.17999999999999</v>
      </c>
      <c r="F23" s="3">
        <v>65.099999999999994</v>
      </c>
      <c r="G23" s="3"/>
      <c r="H23" s="3"/>
      <c r="I23" s="3">
        <v>52.08</v>
      </c>
      <c r="J23" s="3">
        <v>39.06</v>
      </c>
      <c r="K23" s="3">
        <v>14.32</v>
      </c>
      <c r="L23" s="3"/>
      <c r="M23" s="3">
        <v>123.68999999999998</v>
      </c>
      <c r="N23" s="3">
        <v>65.13</v>
      </c>
      <c r="O23" s="3">
        <v>277.33</v>
      </c>
      <c r="P23" s="3"/>
      <c r="Q23" s="11">
        <f t="shared" si="5"/>
        <v>1125.8877500000001</v>
      </c>
      <c r="R23" s="16">
        <f>R22+B23-Q23</f>
        <v>26222.642249999997</v>
      </c>
    </row>
    <row r="24" spans="1:19">
      <c r="A24" s="3" t="s">
        <v>11</v>
      </c>
      <c r="B24" s="5"/>
      <c r="C24" s="44">
        <f t="shared" si="3"/>
        <v>0</v>
      </c>
      <c r="D24" s="3">
        <v>345.03</v>
      </c>
      <c r="E24" s="3">
        <v>117.17999999999999</v>
      </c>
      <c r="F24" s="3">
        <v>65.099999999999994</v>
      </c>
      <c r="G24" s="3"/>
      <c r="H24" s="3"/>
      <c r="I24" s="3">
        <v>52.08</v>
      </c>
      <c r="J24" s="3">
        <v>39.06</v>
      </c>
      <c r="K24" s="3">
        <v>14.32</v>
      </c>
      <c r="L24" s="3"/>
      <c r="M24" s="3">
        <v>123.68999999999998</v>
      </c>
      <c r="N24" s="3"/>
      <c r="O24" s="3">
        <v>277.33</v>
      </c>
      <c r="P24" s="3"/>
      <c r="Q24" s="11">
        <f t="shared" si="5"/>
        <v>1033.79</v>
      </c>
      <c r="R24" s="16">
        <f>R23+B24-Q24</f>
        <v>25188.852249999996</v>
      </c>
    </row>
    <row r="25" spans="1:19" s="45" customFormat="1">
      <c r="A25" s="6"/>
      <c r="B25" s="10">
        <f>SUM(B19:B24)</f>
        <v>6239.91</v>
      </c>
      <c r="C25" s="10">
        <f t="shared" ref="C25:Q25" si="6">SUM(C19:C24)</f>
        <v>155.99775</v>
      </c>
      <c r="D25" s="10">
        <f t="shared" si="6"/>
        <v>2070.1799999999998</v>
      </c>
      <c r="E25" s="10">
        <f t="shared" si="6"/>
        <v>703.07999999999993</v>
      </c>
      <c r="F25" s="10">
        <f t="shared" si="6"/>
        <v>390.6</v>
      </c>
      <c r="G25" s="10">
        <f t="shared" si="6"/>
        <v>0</v>
      </c>
      <c r="H25" s="10">
        <f t="shared" si="6"/>
        <v>0</v>
      </c>
      <c r="I25" s="10">
        <f t="shared" si="6"/>
        <v>312.47999999999996</v>
      </c>
      <c r="J25" s="10">
        <f t="shared" si="6"/>
        <v>234.36</v>
      </c>
      <c r="K25" s="10">
        <f t="shared" si="6"/>
        <v>85.921999999999997</v>
      </c>
      <c r="L25" s="10">
        <f t="shared" si="6"/>
        <v>0</v>
      </c>
      <c r="M25" s="10">
        <f t="shared" si="6"/>
        <v>742.13999999999987</v>
      </c>
      <c r="N25" s="10">
        <f t="shared" si="6"/>
        <v>181.62</v>
      </c>
      <c r="O25" s="10">
        <f t="shared" si="6"/>
        <v>1538.9759999999997</v>
      </c>
      <c r="P25" s="10">
        <f t="shared" si="6"/>
        <v>0</v>
      </c>
      <c r="Q25" s="10">
        <f t="shared" si="6"/>
        <v>6415.3557499999997</v>
      </c>
      <c r="R25" s="86"/>
      <c r="S25" s="51"/>
    </row>
    <row r="26" spans="1:19" s="47" customFormat="1">
      <c r="A26" s="46" t="s">
        <v>51</v>
      </c>
      <c r="B26" s="46">
        <f>B17+B25</f>
        <v>34335.199999999997</v>
      </c>
      <c r="C26" s="46">
        <f t="shared" ref="C26:Q26" si="7">C17+C25</f>
        <v>155.99775</v>
      </c>
      <c r="D26" s="46">
        <f t="shared" si="7"/>
        <v>4374.7199999999993</v>
      </c>
      <c r="E26" s="46">
        <f t="shared" si="7"/>
        <v>1562.4</v>
      </c>
      <c r="F26" s="46">
        <f t="shared" si="7"/>
        <v>781.2</v>
      </c>
      <c r="G26" s="46">
        <f t="shared" si="7"/>
        <v>0</v>
      </c>
      <c r="H26" s="46">
        <f t="shared" si="7"/>
        <v>0</v>
      </c>
      <c r="I26" s="46">
        <f t="shared" si="7"/>
        <v>703.07999999999993</v>
      </c>
      <c r="J26" s="46">
        <f t="shared" si="7"/>
        <v>234.36</v>
      </c>
      <c r="K26" s="46">
        <f t="shared" si="7"/>
        <v>85.921999999999997</v>
      </c>
      <c r="L26" s="46">
        <f t="shared" si="7"/>
        <v>0</v>
      </c>
      <c r="M26" s="46">
        <f t="shared" si="7"/>
        <v>1093.6799999999998</v>
      </c>
      <c r="N26" s="46">
        <f t="shared" si="7"/>
        <v>209.42000000000002</v>
      </c>
      <c r="O26" s="46">
        <f t="shared" si="7"/>
        <v>2835.7679999999996</v>
      </c>
      <c r="P26" s="46">
        <f t="shared" si="7"/>
        <v>0</v>
      </c>
      <c r="Q26" s="46">
        <f t="shared" si="7"/>
        <v>12036.54775</v>
      </c>
      <c r="R26" s="87">
        <f>D6+B26-Q26</f>
        <v>25188.852249999996</v>
      </c>
      <c r="S26" s="90"/>
    </row>
  </sheetData>
  <mergeCells count="16">
    <mergeCell ref="R8:R9"/>
    <mergeCell ref="N6:Q6"/>
    <mergeCell ref="A6:B6"/>
    <mergeCell ref="A8:A9"/>
    <mergeCell ref="B8:B9"/>
    <mergeCell ref="D8:P8"/>
    <mergeCell ref="N7:Q7"/>
    <mergeCell ref="Q8:Q9"/>
    <mergeCell ref="A5:B5"/>
    <mergeCell ref="N4:Q4"/>
    <mergeCell ref="N5:Q5"/>
    <mergeCell ref="A1:R1"/>
    <mergeCell ref="A3:B3"/>
    <mergeCell ref="D3:E3"/>
    <mergeCell ref="F3:G3"/>
    <mergeCell ref="A4:B4"/>
  </mergeCells>
  <pageMargins left="0.25" right="0.25" top="0.75" bottom="0.75" header="0.3" footer="0.3"/>
  <pageSetup paperSize="9" scale="94" orientation="landscape" verticalDpi="0" r:id="rId1"/>
  <colBreaks count="1" manualBreakCount="1">
    <brk id="1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T29"/>
  <sheetViews>
    <sheetView workbookViewId="0">
      <selection activeCell="Q26" sqref="Q26"/>
    </sheetView>
  </sheetViews>
  <sheetFormatPr defaultRowHeight="15"/>
  <cols>
    <col min="1" max="1" width="14.140625" customWidth="1"/>
    <col min="2" max="2" width="10.7109375" customWidth="1"/>
    <col min="3" max="3" width="8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10.5703125" customWidth="1"/>
    <col min="16" max="16" width="0.140625" customWidth="1"/>
    <col min="17" max="17" width="10.5703125" customWidth="1"/>
    <col min="18" max="18" width="9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33</v>
      </c>
      <c r="N3" s="96"/>
      <c r="O3" s="96"/>
    </row>
    <row r="4" spans="1:20" ht="15.75" thickBot="1">
      <c r="A4" s="94" t="s">
        <v>14</v>
      </c>
      <c r="B4" s="95"/>
      <c r="C4" s="29"/>
      <c r="D4" s="1">
        <v>322</v>
      </c>
      <c r="E4" s="8" t="s">
        <v>27</v>
      </c>
      <c r="K4" s="97" t="s">
        <v>61</v>
      </c>
      <c r="L4" s="97"/>
      <c r="M4" s="97"/>
      <c r="N4" s="97"/>
      <c r="O4" s="3">
        <v>0</v>
      </c>
    </row>
    <row r="5" spans="1:20" ht="15.75" thickBot="1">
      <c r="A5" s="94" t="s">
        <v>13</v>
      </c>
      <c r="B5" s="95"/>
      <c r="C5" s="29"/>
      <c r="D5" s="1">
        <v>3</v>
      </c>
      <c r="K5" s="97" t="s">
        <v>84</v>
      </c>
      <c r="L5" s="97"/>
      <c r="M5" s="97"/>
      <c r="N5" s="97"/>
      <c r="O5" s="3">
        <v>4525.95</v>
      </c>
    </row>
    <row r="6" spans="1:20" ht="15.75" thickBot="1">
      <c r="A6" s="94" t="s">
        <v>15</v>
      </c>
      <c r="B6" s="95"/>
      <c r="C6" s="29"/>
      <c r="D6" s="1">
        <v>-4299.03</v>
      </c>
      <c r="K6" s="97" t="s">
        <v>62</v>
      </c>
      <c r="L6" s="97"/>
      <c r="M6" s="97"/>
      <c r="N6" s="97"/>
      <c r="O6" s="3"/>
    </row>
    <row r="7" spans="1:20">
      <c r="K7" s="102" t="s">
        <v>64</v>
      </c>
      <c r="L7" s="102"/>
      <c r="M7" s="97"/>
      <c r="N7" s="97"/>
      <c r="O7" s="3">
        <f>O4+O5-O6</f>
        <v>4525.95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 s="73" customFormat="1">
      <c r="A10" s="70">
        <f>SUM(D10:P10)</f>
        <v>12.41</v>
      </c>
      <c r="B10" s="41"/>
      <c r="C10" s="41"/>
      <c r="D10" s="41">
        <v>2.95</v>
      </c>
      <c r="E10" s="41">
        <v>1</v>
      </c>
      <c r="F10" s="41">
        <v>0.31</v>
      </c>
      <c r="G10" s="41">
        <v>0.43</v>
      </c>
      <c r="H10" s="41">
        <v>0.21</v>
      </c>
      <c r="I10" s="41">
        <v>0.5</v>
      </c>
      <c r="J10" s="41">
        <v>0.3</v>
      </c>
      <c r="K10" s="41"/>
      <c r="L10" s="41">
        <v>0.1</v>
      </c>
      <c r="M10" s="41">
        <v>0.45</v>
      </c>
      <c r="N10" s="75">
        <v>4.5</v>
      </c>
      <c r="O10" s="71">
        <v>1.66</v>
      </c>
      <c r="P10" s="71"/>
      <c r="Q10" s="72"/>
      <c r="R10" s="72"/>
    </row>
    <row r="11" spans="1:20">
      <c r="A11" s="3" t="s">
        <v>0</v>
      </c>
      <c r="B11" s="5">
        <v>3135.26</v>
      </c>
      <c r="C11" s="15"/>
      <c r="D11" s="3">
        <f>D10*322</f>
        <v>949.90000000000009</v>
      </c>
      <c r="E11" s="3">
        <f t="shared" ref="E11:O11" si="0">E10*322</f>
        <v>322</v>
      </c>
      <c r="F11" s="3">
        <f t="shared" si="0"/>
        <v>99.82</v>
      </c>
      <c r="G11" s="3"/>
      <c r="H11" s="3"/>
      <c r="I11" s="3">
        <f t="shared" si="0"/>
        <v>161</v>
      </c>
      <c r="J11" s="3">
        <f t="shared" si="0"/>
        <v>96.6</v>
      </c>
      <c r="K11" s="3"/>
      <c r="L11" s="3"/>
      <c r="M11" s="3">
        <f t="shared" si="0"/>
        <v>144.9</v>
      </c>
      <c r="N11" s="3">
        <v>353.23</v>
      </c>
      <c r="O11" s="3">
        <f t="shared" si="0"/>
        <v>534.52</v>
      </c>
      <c r="P11" s="3"/>
      <c r="Q11" s="3">
        <f t="shared" ref="Q11:Q16" si="1">SUM(D11:P11)</f>
        <v>2661.97</v>
      </c>
      <c r="R11" s="3">
        <f>D6+B11-Q11</f>
        <v>-3825.7399999999993</v>
      </c>
    </row>
    <row r="12" spans="1:20">
      <c r="A12" s="3" t="s">
        <v>1</v>
      </c>
      <c r="B12" s="5">
        <v>2164.9299999999998</v>
      </c>
      <c r="C12" s="15"/>
      <c r="D12" s="3">
        <v>949.9</v>
      </c>
      <c r="E12" s="3">
        <v>322</v>
      </c>
      <c r="F12" s="3">
        <v>99.82</v>
      </c>
      <c r="G12" s="3"/>
      <c r="H12" s="3"/>
      <c r="I12" s="3">
        <v>161</v>
      </c>
      <c r="J12" s="3">
        <v>96.6</v>
      </c>
      <c r="K12" s="3"/>
      <c r="L12" s="3"/>
      <c r="M12" s="3">
        <v>144.9</v>
      </c>
      <c r="N12" s="3">
        <v>307.2</v>
      </c>
      <c r="O12" s="3">
        <v>534.5</v>
      </c>
      <c r="P12" s="3"/>
      <c r="Q12" s="3">
        <f t="shared" si="1"/>
        <v>2615.92</v>
      </c>
      <c r="R12" s="3">
        <f>R11+B12-Q12</f>
        <v>-4276.7299999999996</v>
      </c>
    </row>
    <row r="13" spans="1:20">
      <c r="A13" s="3" t="s">
        <v>2</v>
      </c>
      <c r="B13" s="5">
        <v>4022.89</v>
      </c>
      <c r="C13" s="15"/>
      <c r="D13" s="3">
        <v>949.9</v>
      </c>
      <c r="E13" s="3">
        <v>322</v>
      </c>
      <c r="F13" s="3">
        <v>99.82</v>
      </c>
      <c r="G13" s="3">
        <v>2103.98</v>
      </c>
      <c r="H13" s="3"/>
      <c r="I13" s="3">
        <v>161</v>
      </c>
      <c r="J13" s="3">
        <v>96.6</v>
      </c>
      <c r="K13" s="3"/>
      <c r="L13" s="3"/>
      <c r="M13" s="3">
        <v>144.9</v>
      </c>
      <c r="N13" s="3">
        <v>328.2</v>
      </c>
      <c r="O13" s="3">
        <v>534.5</v>
      </c>
      <c r="P13" s="3"/>
      <c r="Q13" s="3">
        <f t="shared" si="1"/>
        <v>4740.8999999999996</v>
      </c>
      <c r="R13" s="3">
        <f>R12+B13-Q13</f>
        <v>-4994.74</v>
      </c>
    </row>
    <row r="14" spans="1:20">
      <c r="A14" s="3" t="s">
        <v>3</v>
      </c>
      <c r="B14" s="5">
        <v>3323.31</v>
      </c>
      <c r="C14" s="15"/>
      <c r="D14" s="3">
        <v>949.9</v>
      </c>
      <c r="E14" s="3">
        <v>322</v>
      </c>
      <c r="F14" s="3">
        <v>99.82</v>
      </c>
      <c r="G14" s="3"/>
      <c r="H14" s="3">
        <v>300</v>
      </c>
      <c r="I14" s="3">
        <v>161</v>
      </c>
      <c r="J14" s="3">
        <v>96.6</v>
      </c>
      <c r="K14" s="3"/>
      <c r="L14" s="3"/>
      <c r="M14" s="3">
        <v>144.9</v>
      </c>
      <c r="N14" s="3"/>
      <c r="O14" s="3">
        <v>534.5</v>
      </c>
      <c r="P14" s="3"/>
      <c r="Q14" s="3">
        <f t="shared" si="1"/>
        <v>2608.7199999999998</v>
      </c>
      <c r="R14" s="3">
        <f>R13+B14-Q14</f>
        <v>-4280.1499999999996</v>
      </c>
    </row>
    <row r="15" spans="1:20">
      <c r="A15" s="3" t="s">
        <v>4</v>
      </c>
      <c r="B15" s="5">
        <v>1883.93</v>
      </c>
      <c r="C15" s="15"/>
      <c r="D15" s="3">
        <v>949.9</v>
      </c>
      <c r="E15" s="3">
        <v>322</v>
      </c>
      <c r="F15" s="3">
        <v>99.82</v>
      </c>
      <c r="G15" s="3"/>
      <c r="H15" s="3"/>
      <c r="I15" s="3">
        <v>161</v>
      </c>
      <c r="J15" s="3">
        <v>96.6</v>
      </c>
      <c r="K15" s="3"/>
      <c r="L15" s="3"/>
      <c r="M15" s="3">
        <v>144.9</v>
      </c>
      <c r="N15" s="3">
        <v>1046.5</v>
      </c>
      <c r="O15" s="3">
        <v>534.5</v>
      </c>
      <c r="P15" s="3"/>
      <c r="Q15" s="3">
        <f t="shared" si="1"/>
        <v>3355.2200000000003</v>
      </c>
      <c r="R15" s="3">
        <f>R14+B15-Q15</f>
        <v>-5751.44</v>
      </c>
    </row>
    <row r="16" spans="1:20">
      <c r="A16" s="3" t="s">
        <v>5</v>
      </c>
      <c r="B16" s="5">
        <v>1705.14</v>
      </c>
      <c r="C16" s="15"/>
      <c r="D16" s="3">
        <v>949.9</v>
      </c>
      <c r="E16" s="3">
        <v>322</v>
      </c>
      <c r="F16" s="3">
        <v>99.82</v>
      </c>
      <c r="G16" s="3"/>
      <c r="H16" s="3"/>
      <c r="I16" s="3">
        <v>161</v>
      </c>
      <c r="J16" s="3">
        <v>96.6</v>
      </c>
      <c r="K16" s="3"/>
      <c r="L16" s="3"/>
      <c r="M16" s="3">
        <v>144.9</v>
      </c>
      <c r="N16" s="3">
        <v>798.57</v>
      </c>
      <c r="O16" s="3">
        <v>534.5</v>
      </c>
      <c r="P16" s="3"/>
      <c r="Q16" s="3">
        <f t="shared" si="1"/>
        <v>3107.29</v>
      </c>
      <c r="R16" s="3">
        <f>R15+B16-Q16</f>
        <v>-7153.5899999999992</v>
      </c>
    </row>
    <row r="17" spans="1:18" s="45" customFormat="1">
      <c r="A17" s="6" t="s">
        <v>81</v>
      </c>
      <c r="B17" s="10">
        <f>SUM(B11:B16)</f>
        <v>16235.46</v>
      </c>
      <c r="C17" s="10">
        <f t="shared" ref="C17:Q17" si="2">SUM(C11:C16)</f>
        <v>0</v>
      </c>
      <c r="D17" s="10">
        <f t="shared" si="2"/>
        <v>5699.4</v>
      </c>
      <c r="E17" s="10">
        <f t="shared" si="2"/>
        <v>1932</v>
      </c>
      <c r="F17" s="10">
        <f t="shared" si="2"/>
        <v>598.91999999999996</v>
      </c>
      <c r="G17" s="10">
        <f t="shared" si="2"/>
        <v>2103.98</v>
      </c>
      <c r="H17" s="10">
        <f t="shared" si="2"/>
        <v>300</v>
      </c>
      <c r="I17" s="10">
        <f t="shared" si="2"/>
        <v>966</v>
      </c>
      <c r="J17" s="10">
        <f t="shared" si="2"/>
        <v>579.6</v>
      </c>
      <c r="K17" s="10">
        <f t="shared" si="2"/>
        <v>0</v>
      </c>
      <c r="L17" s="10">
        <f t="shared" si="2"/>
        <v>0</v>
      </c>
      <c r="M17" s="10">
        <f t="shared" si="2"/>
        <v>869.4</v>
      </c>
      <c r="N17" s="10">
        <f t="shared" si="2"/>
        <v>2833.7000000000003</v>
      </c>
      <c r="O17" s="10">
        <f t="shared" si="2"/>
        <v>3207.02</v>
      </c>
      <c r="P17" s="10">
        <f t="shared" si="2"/>
        <v>0</v>
      </c>
      <c r="Q17" s="10">
        <f t="shared" si="2"/>
        <v>19090.02</v>
      </c>
      <c r="R17" s="6"/>
    </row>
    <row r="18" spans="1:18" s="43" customFormat="1">
      <c r="A18" s="41">
        <v>14.27</v>
      </c>
      <c r="B18" s="41"/>
      <c r="C18" s="41">
        <v>0.17</v>
      </c>
      <c r="D18" s="41">
        <v>2.65</v>
      </c>
      <c r="E18" s="41">
        <v>0.9</v>
      </c>
      <c r="F18" s="41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90</v>
      </c>
      <c r="O18" s="41">
        <v>1.81</v>
      </c>
      <c r="P18" s="41"/>
      <c r="Q18" s="41"/>
      <c r="R18" s="3">
        <f>R16+B18-Q18</f>
        <v>-7153.5899999999992</v>
      </c>
    </row>
    <row r="19" spans="1:18">
      <c r="A19" s="3" t="s">
        <v>6</v>
      </c>
      <c r="B19" s="5">
        <v>5516.61</v>
      </c>
      <c r="C19" s="11">
        <f>B19*2.5/100</f>
        <v>137.91524999999999</v>
      </c>
      <c r="D19" s="3">
        <f>D18*322</f>
        <v>853.3</v>
      </c>
      <c r="E19" s="3">
        <f t="shared" ref="E19:O19" si="3">E18*322</f>
        <v>289.8</v>
      </c>
      <c r="F19" s="3">
        <f t="shared" si="3"/>
        <v>161</v>
      </c>
      <c r="G19" s="3"/>
      <c r="H19" s="3"/>
      <c r="I19" s="3">
        <f t="shared" si="3"/>
        <v>128.80000000000001</v>
      </c>
      <c r="J19" s="3">
        <f t="shared" si="3"/>
        <v>96.6</v>
      </c>
      <c r="K19" s="3">
        <f t="shared" si="3"/>
        <v>35.42</v>
      </c>
      <c r="L19" s="3"/>
      <c r="M19" s="3">
        <f t="shared" si="3"/>
        <v>305.89999999999998</v>
      </c>
      <c r="N19" s="74">
        <v>1266.93</v>
      </c>
      <c r="O19" s="3">
        <f t="shared" si="3"/>
        <v>582.82000000000005</v>
      </c>
      <c r="P19" s="3"/>
      <c r="Q19" s="11">
        <f>SUM(C19:O19)</f>
        <v>3858.4852500000002</v>
      </c>
      <c r="R19" s="3">
        <f t="shared" ref="R19:R24" si="4">R18+B19-Q19</f>
        <v>-5495.4652499999993</v>
      </c>
    </row>
    <row r="20" spans="1:18">
      <c r="A20" s="3" t="s">
        <v>7</v>
      </c>
      <c r="B20" s="5">
        <v>4497.66</v>
      </c>
      <c r="C20" s="11">
        <f t="shared" ref="C20:C24" si="5">B20*2.5/100</f>
        <v>112.44149999999999</v>
      </c>
      <c r="D20" s="3">
        <v>853.3</v>
      </c>
      <c r="E20" s="3">
        <v>289.8</v>
      </c>
      <c r="F20" s="3">
        <v>161</v>
      </c>
      <c r="G20" s="3"/>
      <c r="H20" s="3"/>
      <c r="I20" s="3">
        <v>128.80000000000001</v>
      </c>
      <c r="J20" s="3">
        <v>96.6</v>
      </c>
      <c r="K20" s="3">
        <v>35.42</v>
      </c>
      <c r="L20" s="3"/>
      <c r="M20" s="3">
        <v>305.89999999999998</v>
      </c>
      <c r="N20" s="74">
        <v>3091.28</v>
      </c>
      <c r="O20" s="3">
        <v>582.82000000000005</v>
      </c>
      <c r="P20" s="3"/>
      <c r="Q20" s="11">
        <f t="shared" ref="Q20:Q24" si="6">SUM(C20:O20)</f>
        <v>5657.3615</v>
      </c>
      <c r="R20" s="3">
        <f t="shared" si="4"/>
        <v>-6655.1667499999994</v>
      </c>
    </row>
    <row r="21" spans="1:18">
      <c r="A21" s="3" t="s">
        <v>8</v>
      </c>
      <c r="B21" s="5">
        <v>3055</v>
      </c>
      <c r="C21" s="11">
        <f t="shared" si="5"/>
        <v>76.375</v>
      </c>
      <c r="D21" s="3">
        <v>853.3</v>
      </c>
      <c r="E21" s="3">
        <v>289.8</v>
      </c>
      <c r="F21" s="3">
        <v>161</v>
      </c>
      <c r="G21" s="3"/>
      <c r="H21" s="3"/>
      <c r="I21" s="3">
        <v>128.80000000000001</v>
      </c>
      <c r="J21" s="3">
        <v>96.6</v>
      </c>
      <c r="K21" s="3">
        <v>35.42</v>
      </c>
      <c r="L21" s="3"/>
      <c r="M21" s="3">
        <v>305.89999999999998</v>
      </c>
      <c r="N21" s="3">
        <v>203.86</v>
      </c>
      <c r="O21" s="3">
        <v>582.82000000000005</v>
      </c>
      <c r="P21" s="3"/>
      <c r="Q21" s="11">
        <f t="shared" si="6"/>
        <v>2733.875</v>
      </c>
      <c r="R21" s="3">
        <f t="shared" si="4"/>
        <v>-6334.0417499999994</v>
      </c>
    </row>
    <row r="22" spans="1:18">
      <c r="A22" s="3" t="s">
        <v>9</v>
      </c>
      <c r="B22" s="5">
        <v>3821.7</v>
      </c>
      <c r="C22" s="11">
        <f t="shared" si="5"/>
        <v>95.542500000000004</v>
      </c>
      <c r="D22" s="3">
        <v>853.3</v>
      </c>
      <c r="E22" s="3">
        <v>289.8</v>
      </c>
      <c r="F22" s="3">
        <v>161</v>
      </c>
      <c r="G22" s="3"/>
      <c r="H22" s="3"/>
      <c r="I22" s="3">
        <v>128.80000000000001</v>
      </c>
      <c r="J22" s="3">
        <v>96.6</v>
      </c>
      <c r="K22" s="3">
        <v>35.42</v>
      </c>
      <c r="L22" s="3"/>
      <c r="M22" s="3">
        <v>305.89999999999998</v>
      </c>
      <c r="N22" s="3">
        <v>354.06</v>
      </c>
      <c r="O22" s="3">
        <f>D4*2.16</f>
        <v>695.5200000000001</v>
      </c>
      <c r="P22" s="3"/>
      <c r="Q22" s="11">
        <f t="shared" si="6"/>
        <v>3015.9424999999997</v>
      </c>
      <c r="R22" s="3">
        <f t="shared" si="4"/>
        <v>-5528.2842499999988</v>
      </c>
    </row>
    <row r="23" spans="1:18">
      <c r="A23" s="3" t="s">
        <v>10</v>
      </c>
      <c r="B23" s="5">
        <v>4430.55</v>
      </c>
      <c r="C23" s="11">
        <f t="shared" si="5"/>
        <v>110.76375</v>
      </c>
      <c r="D23" s="3">
        <v>853.3</v>
      </c>
      <c r="E23" s="3">
        <v>289.8</v>
      </c>
      <c r="F23" s="3">
        <v>161</v>
      </c>
      <c r="G23" s="3"/>
      <c r="H23" s="3"/>
      <c r="I23" s="3">
        <v>128.80000000000001</v>
      </c>
      <c r="J23" s="3">
        <v>96.6</v>
      </c>
      <c r="K23" s="3">
        <v>35.42</v>
      </c>
      <c r="L23" s="3"/>
      <c r="M23" s="3">
        <v>305.89999999999998</v>
      </c>
      <c r="N23" s="3">
        <v>161.07</v>
      </c>
      <c r="O23" s="3">
        <f>O22</f>
        <v>695.5200000000001</v>
      </c>
      <c r="P23" s="3"/>
      <c r="Q23" s="11">
        <f t="shared" si="6"/>
        <v>2838.1737499999999</v>
      </c>
      <c r="R23" s="3">
        <f t="shared" si="4"/>
        <v>-3935.9079999999985</v>
      </c>
    </row>
    <row r="24" spans="1:18">
      <c r="A24" s="3" t="s">
        <v>11</v>
      </c>
      <c r="B24" s="5">
        <v>3077.9</v>
      </c>
      <c r="C24" s="11">
        <f t="shared" si="5"/>
        <v>76.947500000000005</v>
      </c>
      <c r="D24" s="3">
        <v>853.3</v>
      </c>
      <c r="E24" s="3">
        <v>289.8</v>
      </c>
      <c r="F24" s="3">
        <v>161</v>
      </c>
      <c r="G24" s="3"/>
      <c r="H24" s="3">
        <v>300</v>
      </c>
      <c r="I24" s="3">
        <v>128.80000000000001</v>
      </c>
      <c r="J24" s="3">
        <v>96.6</v>
      </c>
      <c r="K24" s="3">
        <v>35.42</v>
      </c>
      <c r="L24" s="3"/>
      <c r="M24" s="3">
        <v>305.89999999999998</v>
      </c>
      <c r="N24" s="3">
        <v>1712.16</v>
      </c>
      <c r="O24" s="3">
        <f>O23</f>
        <v>695.5200000000001</v>
      </c>
      <c r="P24" s="3"/>
      <c r="Q24" s="11">
        <f t="shared" si="6"/>
        <v>4655.4475000000002</v>
      </c>
      <c r="R24" s="3">
        <f t="shared" si="4"/>
        <v>-5513.4554999999982</v>
      </c>
    </row>
    <row r="25" spans="1:18" s="45" customFormat="1">
      <c r="A25" s="6" t="s">
        <v>82</v>
      </c>
      <c r="B25" s="10">
        <f>SUM(B19:B24)</f>
        <v>24399.420000000002</v>
      </c>
      <c r="C25" s="10">
        <f t="shared" ref="C25:Q25" si="7">SUM(C19:C24)</f>
        <v>609.9855</v>
      </c>
      <c r="D25" s="10">
        <f t="shared" si="7"/>
        <v>5119.8</v>
      </c>
      <c r="E25" s="10">
        <f t="shared" si="7"/>
        <v>1738.8</v>
      </c>
      <c r="F25" s="10">
        <f t="shared" si="7"/>
        <v>966</v>
      </c>
      <c r="G25" s="10">
        <f t="shared" si="7"/>
        <v>0</v>
      </c>
      <c r="H25" s="10">
        <f t="shared" si="7"/>
        <v>300</v>
      </c>
      <c r="I25" s="10">
        <f t="shared" si="7"/>
        <v>772.8</v>
      </c>
      <c r="J25" s="10">
        <f t="shared" si="7"/>
        <v>579.6</v>
      </c>
      <c r="K25" s="10">
        <f t="shared" si="7"/>
        <v>212.52000000000004</v>
      </c>
      <c r="L25" s="10">
        <f t="shared" si="7"/>
        <v>0</v>
      </c>
      <c r="M25" s="10">
        <f t="shared" si="7"/>
        <v>1835.4</v>
      </c>
      <c r="N25" s="10">
        <f t="shared" si="7"/>
        <v>6789.36</v>
      </c>
      <c r="O25" s="10">
        <f t="shared" si="7"/>
        <v>3835.02</v>
      </c>
      <c r="P25" s="10">
        <f t="shared" si="7"/>
        <v>0</v>
      </c>
      <c r="Q25" s="10">
        <f t="shared" si="7"/>
        <v>22759.285499999998</v>
      </c>
      <c r="R25" s="6"/>
    </row>
    <row r="26" spans="1:18" s="47" customFormat="1">
      <c r="A26" s="46" t="s">
        <v>55</v>
      </c>
      <c r="B26" s="46">
        <f>B17+B25</f>
        <v>40634.880000000005</v>
      </c>
      <c r="C26" s="46">
        <f t="shared" ref="C26:Q26" si="8">C17+C25</f>
        <v>609.9855</v>
      </c>
      <c r="D26" s="46">
        <f t="shared" si="8"/>
        <v>10819.2</v>
      </c>
      <c r="E26" s="46">
        <f t="shared" si="8"/>
        <v>3670.8</v>
      </c>
      <c r="F26" s="46">
        <f t="shared" si="8"/>
        <v>1564.92</v>
      </c>
      <c r="G26" s="46">
        <f t="shared" si="8"/>
        <v>2103.98</v>
      </c>
      <c r="H26" s="46">
        <f t="shared" si="8"/>
        <v>600</v>
      </c>
      <c r="I26" s="46">
        <f t="shared" si="8"/>
        <v>1738.8</v>
      </c>
      <c r="J26" s="46">
        <f t="shared" si="8"/>
        <v>1159.2</v>
      </c>
      <c r="K26" s="46">
        <f t="shared" si="8"/>
        <v>212.52000000000004</v>
      </c>
      <c r="L26" s="46">
        <f t="shared" si="8"/>
        <v>0</v>
      </c>
      <c r="M26" s="46">
        <f t="shared" si="8"/>
        <v>2704.8</v>
      </c>
      <c r="N26" s="46">
        <f t="shared" si="8"/>
        <v>9623.06</v>
      </c>
      <c r="O26" s="46">
        <f t="shared" si="8"/>
        <v>7042.04</v>
      </c>
      <c r="P26" s="46">
        <f t="shared" si="8"/>
        <v>0</v>
      </c>
      <c r="Q26" s="50">
        <f t="shared" si="8"/>
        <v>41849.305500000002</v>
      </c>
      <c r="R26" s="46">
        <f>D6+B26-Q26</f>
        <v>-5513.4554999999964</v>
      </c>
    </row>
    <row r="29" spans="1:18">
      <c r="A29" s="3" t="s">
        <v>59</v>
      </c>
      <c r="B29" s="3">
        <v>1200</v>
      </c>
    </row>
  </sheetData>
  <mergeCells count="17">
    <mergeCell ref="D8:P8"/>
    <mergeCell ref="K6:N6"/>
    <mergeCell ref="K7:N7"/>
    <mergeCell ref="Q8:Q9"/>
    <mergeCell ref="R8:R9"/>
    <mergeCell ref="A1:R1"/>
    <mergeCell ref="A3:B3"/>
    <mergeCell ref="D3:E3"/>
    <mergeCell ref="F3:G3"/>
    <mergeCell ref="A4:B4"/>
    <mergeCell ref="A8:A9"/>
    <mergeCell ref="B8:B9"/>
    <mergeCell ref="A5:B5"/>
    <mergeCell ref="N3:O3"/>
    <mergeCell ref="K4:N4"/>
    <mergeCell ref="K5:N5"/>
    <mergeCell ref="A6:B6"/>
  </mergeCells>
  <pageMargins left="0.25" right="0.25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</sheetPr>
  <dimension ref="A1:T28"/>
  <sheetViews>
    <sheetView workbookViewId="0">
      <selection activeCell="C26" sqref="C26:P26"/>
    </sheetView>
  </sheetViews>
  <sheetFormatPr defaultRowHeight="15"/>
  <cols>
    <col min="1" max="1" width="12.28515625" customWidth="1"/>
    <col min="2" max="2" width="10.7109375" customWidth="1"/>
    <col min="3" max="3" width="8.140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10.5703125" customWidth="1"/>
    <col min="16" max="16" width="7.5703125" customWidth="1"/>
    <col min="17" max="17" width="7.7109375" customWidth="1"/>
    <col min="18" max="18" width="9.57031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34</v>
      </c>
      <c r="N3" s="96"/>
      <c r="O3" s="96"/>
    </row>
    <row r="4" spans="1:20" ht="15.75" thickBot="1">
      <c r="A4" s="94" t="s">
        <v>14</v>
      </c>
      <c r="B4" s="95"/>
      <c r="C4" s="29"/>
      <c r="D4" s="1">
        <v>321.8</v>
      </c>
      <c r="E4" s="8" t="s">
        <v>27</v>
      </c>
      <c r="K4" s="97" t="s">
        <v>61</v>
      </c>
      <c r="L4" s="97"/>
      <c r="M4" s="97"/>
      <c r="N4" s="97"/>
      <c r="O4" s="3">
        <v>15812.13</v>
      </c>
    </row>
    <row r="5" spans="1:20" ht="15.75" thickBot="1">
      <c r="A5" s="94" t="s">
        <v>13</v>
      </c>
      <c r="B5" s="95"/>
      <c r="C5" s="29"/>
      <c r="D5" s="1">
        <v>3</v>
      </c>
      <c r="K5" s="97" t="s">
        <v>84</v>
      </c>
      <c r="L5" s="97"/>
      <c r="M5" s="97"/>
      <c r="N5" s="97"/>
      <c r="O5" s="3">
        <v>4334.6899999999996</v>
      </c>
    </row>
    <row r="6" spans="1:20" ht="15.75" thickBot="1">
      <c r="A6" s="94" t="s">
        <v>15</v>
      </c>
      <c r="B6" s="95"/>
      <c r="C6" s="29"/>
      <c r="D6" s="1">
        <v>2975.43</v>
      </c>
      <c r="K6" s="97" t="s">
        <v>62</v>
      </c>
      <c r="L6" s="97"/>
      <c r="M6" s="97"/>
      <c r="N6" s="97"/>
      <c r="O6" s="3"/>
    </row>
    <row r="7" spans="1:20">
      <c r="K7" s="102" t="s">
        <v>64</v>
      </c>
      <c r="L7" s="102"/>
      <c r="M7" s="97"/>
      <c r="N7" s="97"/>
      <c r="O7" s="3">
        <f>O4+O5-O6</f>
        <v>20146.82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12.41</v>
      </c>
      <c r="B10" s="10"/>
      <c r="C10" s="20">
        <v>2.5</v>
      </c>
      <c r="D10" s="6">
        <v>2.95</v>
      </c>
      <c r="E10" s="6">
        <v>1</v>
      </c>
      <c r="F10" s="6">
        <v>0.31</v>
      </c>
      <c r="G10" s="6">
        <v>0.43</v>
      </c>
      <c r="H10" s="6">
        <v>0.21</v>
      </c>
      <c r="I10" s="6">
        <v>0.5</v>
      </c>
      <c r="J10" s="6">
        <v>0.3</v>
      </c>
      <c r="K10" s="6"/>
      <c r="L10" s="6">
        <v>0.1</v>
      </c>
      <c r="M10" s="6">
        <v>0.45</v>
      </c>
      <c r="N10" s="65">
        <v>4.5</v>
      </c>
      <c r="O10" s="4">
        <v>1.66</v>
      </c>
      <c r="P10" s="4"/>
      <c r="Q10" s="3"/>
      <c r="R10" s="3"/>
    </row>
    <row r="11" spans="1:20">
      <c r="A11" s="3" t="s">
        <v>0</v>
      </c>
      <c r="B11" s="5">
        <v>2170.12</v>
      </c>
      <c r="C11" s="15"/>
      <c r="D11" s="3">
        <f>D10*321.8</f>
        <v>949.31000000000006</v>
      </c>
      <c r="E11" s="3">
        <f t="shared" ref="E11:O11" si="0">E10*321.8</f>
        <v>321.8</v>
      </c>
      <c r="F11" s="3">
        <f t="shared" si="0"/>
        <v>99.75800000000001</v>
      </c>
      <c r="G11" s="3"/>
      <c r="H11" s="3"/>
      <c r="I11" s="3">
        <f t="shared" si="0"/>
        <v>160.9</v>
      </c>
      <c r="J11" s="3">
        <f t="shared" si="0"/>
        <v>96.54</v>
      </c>
      <c r="K11" s="3"/>
      <c r="L11" s="3"/>
      <c r="M11" s="3">
        <f t="shared" si="0"/>
        <v>144.81</v>
      </c>
      <c r="N11" s="3">
        <v>353.23</v>
      </c>
      <c r="O11" s="3">
        <f t="shared" si="0"/>
        <v>534.18799999999999</v>
      </c>
      <c r="P11" s="3"/>
      <c r="Q11" s="3">
        <f t="shared" ref="Q11:Q16" si="1">SUM(D11:P11)</f>
        <v>2660.5360000000001</v>
      </c>
      <c r="R11" s="3">
        <f>D6+B11-Q11</f>
        <v>2485.0139999999992</v>
      </c>
    </row>
    <row r="12" spans="1:20">
      <c r="A12" s="3" t="s">
        <v>1</v>
      </c>
      <c r="B12" s="5">
        <v>4088.58</v>
      </c>
      <c r="C12" s="15"/>
      <c r="D12" s="3">
        <v>949.31000000000006</v>
      </c>
      <c r="E12" s="3">
        <v>321.8</v>
      </c>
      <c r="F12" s="3">
        <v>99.75800000000001</v>
      </c>
      <c r="G12" s="3"/>
      <c r="H12" s="3"/>
      <c r="I12" s="3">
        <v>160.9</v>
      </c>
      <c r="J12" s="3">
        <v>96.54</v>
      </c>
      <c r="K12" s="3"/>
      <c r="L12" s="3"/>
      <c r="M12" s="3">
        <v>144.81</v>
      </c>
      <c r="N12" s="3">
        <v>1465.11</v>
      </c>
      <c r="O12" s="3">
        <v>534.18799999999999</v>
      </c>
      <c r="P12" s="3"/>
      <c r="Q12" s="3">
        <f t="shared" si="1"/>
        <v>3772.4160000000002</v>
      </c>
      <c r="R12" s="3">
        <f>R11+B12-Q12</f>
        <v>2801.177999999999</v>
      </c>
    </row>
    <row r="13" spans="1:20">
      <c r="A13" s="3" t="s">
        <v>2</v>
      </c>
      <c r="B13" s="5">
        <v>3790.17</v>
      </c>
      <c r="C13" s="15"/>
      <c r="D13" s="3">
        <v>949.31000000000006</v>
      </c>
      <c r="E13" s="3">
        <v>321.8</v>
      </c>
      <c r="F13" s="3">
        <v>99.75800000000001</v>
      </c>
      <c r="G13" s="3">
        <v>938.99</v>
      </c>
      <c r="H13" s="3"/>
      <c r="I13" s="3">
        <v>160.9</v>
      </c>
      <c r="J13" s="3">
        <v>96.54</v>
      </c>
      <c r="K13" s="3"/>
      <c r="L13" s="3"/>
      <c r="M13" s="3">
        <v>144.81</v>
      </c>
      <c r="N13" s="3">
        <v>876.64</v>
      </c>
      <c r="O13" s="3">
        <v>534.18799999999999</v>
      </c>
      <c r="P13" s="3"/>
      <c r="Q13" s="3">
        <f t="shared" si="1"/>
        <v>4122.9359999999997</v>
      </c>
      <c r="R13" s="3">
        <f>R12+B13-Q13</f>
        <v>2468.4119999999994</v>
      </c>
    </row>
    <row r="14" spans="1:20">
      <c r="A14" s="3" t="s">
        <v>3</v>
      </c>
      <c r="B14" s="5">
        <v>2924.68</v>
      </c>
      <c r="C14" s="15"/>
      <c r="D14" s="3">
        <v>949.31000000000006</v>
      </c>
      <c r="E14" s="3">
        <v>321.8</v>
      </c>
      <c r="F14" s="3">
        <v>99.75800000000001</v>
      </c>
      <c r="G14" s="3"/>
      <c r="H14" s="3">
        <v>0</v>
      </c>
      <c r="I14" s="3">
        <v>160.9</v>
      </c>
      <c r="J14" s="3">
        <v>96.54</v>
      </c>
      <c r="K14" s="3"/>
      <c r="L14" s="3">
        <v>3826.9</v>
      </c>
      <c r="M14" s="3">
        <v>144.81</v>
      </c>
      <c r="N14" s="3">
        <v>127.6</v>
      </c>
      <c r="O14" s="3">
        <v>534.18799999999999</v>
      </c>
      <c r="P14" s="3"/>
      <c r="Q14" s="3">
        <f t="shared" si="1"/>
        <v>6261.8060000000014</v>
      </c>
      <c r="R14" s="3">
        <f>R13+B14-Q14</f>
        <v>-868.71400000000267</v>
      </c>
    </row>
    <row r="15" spans="1:20">
      <c r="A15" s="3" t="s">
        <v>4</v>
      </c>
      <c r="B15" s="5">
        <v>3984.98</v>
      </c>
      <c r="C15" s="15"/>
      <c r="D15" s="3">
        <v>949.31000000000006</v>
      </c>
      <c r="E15" s="3">
        <v>321.8</v>
      </c>
      <c r="F15" s="3">
        <v>99.75800000000001</v>
      </c>
      <c r="G15" s="3"/>
      <c r="H15" s="3"/>
      <c r="I15" s="3">
        <v>160.9</v>
      </c>
      <c r="J15" s="3">
        <v>96.54</v>
      </c>
      <c r="K15" s="3"/>
      <c r="L15" s="3"/>
      <c r="M15" s="3">
        <v>144.81</v>
      </c>
      <c r="N15" s="3">
        <v>391.04</v>
      </c>
      <c r="O15" s="3">
        <v>534.18799999999999</v>
      </c>
      <c r="P15" s="3"/>
      <c r="Q15" s="3">
        <f t="shared" si="1"/>
        <v>2698.3460000000005</v>
      </c>
      <c r="R15" s="3">
        <f>R14+B15-Q15</f>
        <v>417.91999999999689</v>
      </c>
    </row>
    <row r="16" spans="1:20">
      <c r="A16" s="3" t="s">
        <v>5</v>
      </c>
      <c r="B16" s="5">
        <v>2010.43</v>
      </c>
      <c r="C16" s="15"/>
      <c r="D16" s="3">
        <v>949.31000000000006</v>
      </c>
      <c r="E16" s="3">
        <v>321.8</v>
      </c>
      <c r="F16" s="3">
        <v>99.75800000000001</v>
      </c>
      <c r="G16" s="3"/>
      <c r="H16" s="3"/>
      <c r="I16" s="3">
        <v>160.9</v>
      </c>
      <c r="J16" s="3">
        <v>96.54</v>
      </c>
      <c r="K16" s="3"/>
      <c r="L16" s="3"/>
      <c r="M16" s="3">
        <v>144.81</v>
      </c>
      <c r="N16" s="3">
        <v>798.57</v>
      </c>
      <c r="O16" s="3">
        <v>534.18799999999999</v>
      </c>
      <c r="P16" s="3"/>
      <c r="Q16" s="3">
        <f t="shared" si="1"/>
        <v>3105.8760000000002</v>
      </c>
      <c r="R16" s="3">
        <f>R15+B16-Q16</f>
        <v>-677.52600000000348</v>
      </c>
    </row>
    <row r="17" spans="1:18" s="45" customFormat="1">
      <c r="A17" s="6" t="s">
        <v>81</v>
      </c>
      <c r="B17" s="10">
        <f>SUM(B11:B16)</f>
        <v>18968.96</v>
      </c>
      <c r="C17" s="10">
        <f t="shared" ref="C17:Q17" si="2">SUM(C11:C16)</f>
        <v>0</v>
      </c>
      <c r="D17" s="10">
        <f t="shared" si="2"/>
        <v>5695.8600000000006</v>
      </c>
      <c r="E17" s="10">
        <f t="shared" si="2"/>
        <v>1930.8</v>
      </c>
      <c r="F17" s="10">
        <f t="shared" si="2"/>
        <v>598.54800000000012</v>
      </c>
      <c r="G17" s="10">
        <f t="shared" si="2"/>
        <v>938.99</v>
      </c>
      <c r="H17" s="10">
        <f t="shared" si="2"/>
        <v>0</v>
      </c>
      <c r="I17" s="10">
        <f t="shared" si="2"/>
        <v>965.4</v>
      </c>
      <c r="J17" s="10">
        <f t="shared" si="2"/>
        <v>579.24</v>
      </c>
      <c r="K17" s="10">
        <f t="shared" si="2"/>
        <v>0</v>
      </c>
      <c r="L17" s="10">
        <f t="shared" si="2"/>
        <v>3826.9</v>
      </c>
      <c r="M17" s="10">
        <f t="shared" si="2"/>
        <v>868.8599999999999</v>
      </c>
      <c r="N17" s="10">
        <f t="shared" si="2"/>
        <v>4012.19</v>
      </c>
      <c r="O17" s="10">
        <f t="shared" si="2"/>
        <v>3205.1280000000002</v>
      </c>
      <c r="P17" s="10">
        <f t="shared" si="2"/>
        <v>0</v>
      </c>
      <c r="Q17" s="10">
        <f t="shared" si="2"/>
        <v>22621.916000000001</v>
      </c>
      <c r="R17" s="3"/>
    </row>
    <row r="18" spans="1:18" s="43" customFormat="1">
      <c r="A18" s="41">
        <v>13.72</v>
      </c>
      <c r="B18" s="41"/>
      <c r="C18" s="41">
        <v>0.17</v>
      </c>
      <c r="D18" s="41">
        <v>2.65</v>
      </c>
      <c r="E18" s="41">
        <v>0.9</v>
      </c>
      <c r="F18" s="41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93</v>
      </c>
      <c r="O18" s="41">
        <v>1.81</v>
      </c>
      <c r="P18" s="41"/>
      <c r="Q18" s="41"/>
      <c r="R18" s="6">
        <v>-677.5</v>
      </c>
    </row>
    <row r="19" spans="1:18">
      <c r="A19" s="3" t="s">
        <v>6</v>
      </c>
      <c r="B19" s="5">
        <v>7316.74</v>
      </c>
      <c r="C19" s="44">
        <f t="shared" ref="C19:C24" si="3">B19*2.5/100</f>
        <v>182.91849999999999</v>
      </c>
      <c r="D19" s="11">
        <f>D18*321.8</f>
        <v>852.77</v>
      </c>
      <c r="E19" s="3">
        <f t="shared" ref="E19:O19" si="4">E18*321.8</f>
        <v>289.62</v>
      </c>
      <c r="F19" s="3">
        <f t="shared" si="4"/>
        <v>160.9</v>
      </c>
      <c r="G19" s="3"/>
      <c r="H19" s="3"/>
      <c r="I19" s="3">
        <f t="shared" si="4"/>
        <v>128.72</v>
      </c>
      <c r="J19" s="3">
        <f t="shared" si="4"/>
        <v>96.54</v>
      </c>
      <c r="K19" s="11">
        <f t="shared" si="4"/>
        <v>35.398000000000003</v>
      </c>
      <c r="L19" s="11"/>
      <c r="M19" s="3">
        <f t="shared" si="4"/>
        <v>305.70999999999998</v>
      </c>
      <c r="N19" s="74">
        <v>1045.57</v>
      </c>
      <c r="O19" s="11">
        <f t="shared" si="4"/>
        <v>582.45800000000008</v>
      </c>
      <c r="P19" s="3"/>
      <c r="Q19" s="11">
        <f>SUM(C19:P19)</f>
        <v>3680.6044999999999</v>
      </c>
      <c r="R19" s="3">
        <f t="shared" ref="R19:R24" si="5">R18+B19-Q19</f>
        <v>2958.6354999999999</v>
      </c>
    </row>
    <row r="20" spans="1:18">
      <c r="A20" s="3" t="s">
        <v>7</v>
      </c>
      <c r="B20" s="5">
        <v>7296.07</v>
      </c>
      <c r="C20" s="44">
        <f t="shared" si="3"/>
        <v>182.40174999999999</v>
      </c>
      <c r="D20" s="3">
        <v>54.71</v>
      </c>
      <c r="E20" s="3">
        <v>289.62</v>
      </c>
      <c r="F20" s="3">
        <v>160.9</v>
      </c>
      <c r="G20" s="3"/>
      <c r="H20" s="3"/>
      <c r="I20" s="3">
        <v>128.72</v>
      </c>
      <c r="J20" s="3">
        <v>96.54</v>
      </c>
      <c r="K20" s="3">
        <v>35.4</v>
      </c>
      <c r="L20" s="3"/>
      <c r="M20" s="3">
        <v>305.70999999999998</v>
      </c>
      <c r="N20" s="74">
        <v>3550.52</v>
      </c>
      <c r="O20" s="11">
        <v>582.45800000000008</v>
      </c>
      <c r="P20" s="3"/>
      <c r="Q20" s="11">
        <f t="shared" ref="Q20:Q24" si="6">SUM(C20:P20)</f>
        <v>5386.9797500000004</v>
      </c>
      <c r="R20" s="3">
        <f t="shared" si="5"/>
        <v>4867.7257499999996</v>
      </c>
    </row>
    <row r="21" spans="1:18">
      <c r="A21" s="3" t="s">
        <v>8</v>
      </c>
      <c r="B21" s="5">
        <v>4731.26</v>
      </c>
      <c r="C21" s="15">
        <f t="shared" si="3"/>
        <v>118.28150000000001</v>
      </c>
      <c r="D21" s="3">
        <v>54.71</v>
      </c>
      <c r="E21" s="3">
        <v>289.62</v>
      </c>
      <c r="F21" s="3">
        <v>160.9</v>
      </c>
      <c r="G21" s="3"/>
      <c r="H21" s="3"/>
      <c r="I21" s="3">
        <v>128.72</v>
      </c>
      <c r="J21" s="3">
        <v>96.54</v>
      </c>
      <c r="K21" s="3">
        <v>35.4</v>
      </c>
      <c r="L21" s="3"/>
      <c r="M21" s="3">
        <v>305.70999999999998</v>
      </c>
      <c r="N21" s="3">
        <v>38.81</v>
      </c>
      <c r="O21" s="11">
        <v>582.45800000000008</v>
      </c>
      <c r="P21" s="3"/>
      <c r="Q21" s="11">
        <f t="shared" si="6"/>
        <v>1811.1495</v>
      </c>
      <c r="R21" s="3">
        <f t="shared" si="5"/>
        <v>7787.8362500000003</v>
      </c>
    </row>
    <row r="22" spans="1:18">
      <c r="A22" s="3" t="s">
        <v>9</v>
      </c>
      <c r="B22" s="5">
        <v>5578.5</v>
      </c>
      <c r="C22" s="15">
        <f t="shared" si="3"/>
        <v>139.46250000000001</v>
      </c>
      <c r="D22" s="3">
        <v>54.71</v>
      </c>
      <c r="E22" s="3">
        <v>289.62</v>
      </c>
      <c r="F22" s="3">
        <v>160.9</v>
      </c>
      <c r="G22" s="3"/>
      <c r="H22" s="3"/>
      <c r="I22" s="3">
        <v>128.72</v>
      </c>
      <c r="J22" s="3">
        <v>96.54</v>
      </c>
      <c r="K22" s="3">
        <v>35.4</v>
      </c>
      <c r="L22" s="3"/>
      <c r="M22" s="3">
        <v>305.70999999999998</v>
      </c>
      <c r="N22" s="3">
        <v>726.25</v>
      </c>
      <c r="O22" s="11">
        <f>D4*2.16</f>
        <v>695.08800000000008</v>
      </c>
      <c r="P22" s="3"/>
      <c r="Q22" s="11">
        <f t="shared" si="6"/>
        <v>2632.4005000000002</v>
      </c>
      <c r="R22" s="3">
        <f t="shared" si="5"/>
        <v>10733.935750000001</v>
      </c>
    </row>
    <row r="23" spans="1:18">
      <c r="A23" s="3" t="s">
        <v>10</v>
      </c>
      <c r="B23" s="5">
        <v>5578.5</v>
      </c>
      <c r="C23" s="15">
        <f t="shared" si="3"/>
        <v>139.46250000000001</v>
      </c>
      <c r="D23" s="3">
        <v>54.71</v>
      </c>
      <c r="E23" s="3">
        <v>289.62</v>
      </c>
      <c r="F23" s="3">
        <v>160.9</v>
      </c>
      <c r="G23" s="3"/>
      <c r="H23" s="3"/>
      <c r="I23" s="3">
        <v>128.72</v>
      </c>
      <c r="J23" s="3">
        <v>96.54</v>
      </c>
      <c r="K23" s="3">
        <v>35.4</v>
      </c>
      <c r="L23" s="3"/>
      <c r="M23" s="3">
        <v>305.70999999999998</v>
      </c>
      <c r="N23" s="3">
        <v>244.81</v>
      </c>
      <c r="O23" s="11">
        <f>O22</f>
        <v>695.08800000000008</v>
      </c>
      <c r="P23" s="3"/>
      <c r="Q23" s="11">
        <f t="shared" si="6"/>
        <v>2150.9605000000001</v>
      </c>
      <c r="R23" s="3">
        <f t="shared" si="5"/>
        <v>14161.47525</v>
      </c>
    </row>
    <row r="24" spans="1:18">
      <c r="A24" s="3" t="s">
        <v>11</v>
      </c>
      <c r="B24" s="5">
        <v>2753.05</v>
      </c>
      <c r="C24" s="15">
        <f t="shared" si="3"/>
        <v>68.826250000000002</v>
      </c>
      <c r="D24" s="3">
        <v>54.71</v>
      </c>
      <c r="E24" s="3">
        <v>289.62</v>
      </c>
      <c r="F24" s="3">
        <v>160.9</v>
      </c>
      <c r="G24" s="3"/>
      <c r="H24" s="3"/>
      <c r="I24" s="3">
        <v>128.72</v>
      </c>
      <c r="J24" s="3">
        <v>96.54</v>
      </c>
      <c r="K24" s="3">
        <v>35.4</v>
      </c>
      <c r="L24" s="3"/>
      <c r="M24" s="3">
        <v>305.70999999999998</v>
      </c>
      <c r="N24" s="3">
        <v>4988.88</v>
      </c>
      <c r="O24" s="11">
        <f>O23</f>
        <v>695.08800000000008</v>
      </c>
      <c r="P24" s="3"/>
      <c r="Q24" s="11">
        <f t="shared" si="6"/>
        <v>6824.3942499999994</v>
      </c>
      <c r="R24" s="3">
        <f t="shared" si="5"/>
        <v>10090.130999999999</v>
      </c>
    </row>
    <row r="25" spans="1:18" s="45" customFormat="1">
      <c r="A25" s="6" t="s">
        <v>82</v>
      </c>
      <c r="B25" s="10">
        <f>SUM(B19:B24)</f>
        <v>33254.120000000003</v>
      </c>
      <c r="C25" s="10">
        <f t="shared" ref="C25:Q25" si="7">SUM(C19:C24)</f>
        <v>831.35299999999995</v>
      </c>
      <c r="D25" s="10">
        <f t="shared" si="7"/>
        <v>1126.3200000000002</v>
      </c>
      <c r="E25" s="10">
        <f t="shared" si="7"/>
        <v>1737.7199999999998</v>
      </c>
      <c r="F25" s="10">
        <f t="shared" si="7"/>
        <v>965.4</v>
      </c>
      <c r="G25" s="10">
        <f t="shared" si="7"/>
        <v>0</v>
      </c>
      <c r="H25" s="10">
        <f t="shared" si="7"/>
        <v>0</v>
      </c>
      <c r="I25" s="10">
        <f t="shared" si="7"/>
        <v>772.32</v>
      </c>
      <c r="J25" s="10">
        <f t="shared" si="7"/>
        <v>579.24</v>
      </c>
      <c r="K25" s="10">
        <f t="shared" si="7"/>
        <v>212.39800000000002</v>
      </c>
      <c r="L25" s="10">
        <f t="shared" si="7"/>
        <v>0</v>
      </c>
      <c r="M25" s="10">
        <f t="shared" si="7"/>
        <v>1834.26</v>
      </c>
      <c r="N25" s="10">
        <f t="shared" si="7"/>
        <v>10594.84</v>
      </c>
      <c r="O25" s="10">
        <f t="shared" si="7"/>
        <v>3832.6380000000008</v>
      </c>
      <c r="P25" s="10">
        <f t="shared" si="7"/>
        <v>0</v>
      </c>
      <c r="Q25" s="10">
        <f t="shared" si="7"/>
        <v>22486.489000000001</v>
      </c>
      <c r="R25" s="3"/>
    </row>
    <row r="26" spans="1:18" s="47" customFormat="1">
      <c r="A26" s="46" t="s">
        <v>55</v>
      </c>
      <c r="B26" s="46">
        <f>B17+B25</f>
        <v>52223.08</v>
      </c>
      <c r="C26" s="46">
        <f t="shared" ref="C26:Q26" si="8">C17+C25</f>
        <v>831.35299999999995</v>
      </c>
      <c r="D26" s="46">
        <f t="shared" si="8"/>
        <v>6822.18</v>
      </c>
      <c r="E26" s="46">
        <f t="shared" si="8"/>
        <v>3668.5199999999995</v>
      </c>
      <c r="F26" s="46">
        <f t="shared" si="8"/>
        <v>1563.9480000000001</v>
      </c>
      <c r="G26" s="46">
        <f t="shared" si="8"/>
        <v>938.99</v>
      </c>
      <c r="H26" s="46">
        <f t="shared" si="8"/>
        <v>0</v>
      </c>
      <c r="I26" s="46">
        <f t="shared" si="8"/>
        <v>1737.72</v>
      </c>
      <c r="J26" s="46">
        <f t="shared" si="8"/>
        <v>1158.48</v>
      </c>
      <c r="K26" s="46">
        <f t="shared" si="8"/>
        <v>212.39800000000002</v>
      </c>
      <c r="L26" s="46">
        <f t="shared" si="8"/>
        <v>3826.9</v>
      </c>
      <c r="M26" s="46">
        <f t="shared" si="8"/>
        <v>2703.12</v>
      </c>
      <c r="N26" s="46">
        <f t="shared" si="8"/>
        <v>14607.03</v>
      </c>
      <c r="O26" s="46">
        <f t="shared" si="8"/>
        <v>7037.7660000000014</v>
      </c>
      <c r="P26" s="46">
        <f t="shared" si="8"/>
        <v>0</v>
      </c>
      <c r="Q26" s="46">
        <f t="shared" si="8"/>
        <v>45108.404999999999</v>
      </c>
      <c r="R26" s="46">
        <f>D6+B26-Q26</f>
        <v>10090.105000000003</v>
      </c>
    </row>
    <row r="28" spans="1:18">
      <c r="A28" s="3" t="s">
        <v>57</v>
      </c>
      <c r="B28" s="3">
        <v>3826.88</v>
      </c>
      <c r="C28" s="27"/>
    </row>
  </sheetData>
  <mergeCells count="17">
    <mergeCell ref="A8:A9"/>
    <mergeCell ref="B8:B9"/>
    <mergeCell ref="A5:B5"/>
    <mergeCell ref="N3:O3"/>
    <mergeCell ref="K4:N4"/>
    <mergeCell ref="K5:N5"/>
    <mergeCell ref="A6:B6"/>
    <mergeCell ref="A1:R1"/>
    <mergeCell ref="A3:B3"/>
    <mergeCell ref="D3:E3"/>
    <mergeCell ref="F3:G3"/>
    <mergeCell ref="A4:B4"/>
    <mergeCell ref="Q8:Q9"/>
    <mergeCell ref="D8:P8"/>
    <mergeCell ref="K6:N6"/>
    <mergeCell ref="K7:N7"/>
    <mergeCell ref="R8:R9"/>
  </mergeCell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T30"/>
  <sheetViews>
    <sheetView workbookViewId="0">
      <selection activeCell="P3" sqref="P3"/>
    </sheetView>
  </sheetViews>
  <sheetFormatPr defaultRowHeight="15"/>
  <cols>
    <col min="1" max="1" width="11.7109375" customWidth="1"/>
    <col min="2" max="2" width="10.7109375" customWidth="1"/>
    <col min="3" max="3" width="9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9.7109375" customWidth="1"/>
    <col min="15" max="15" width="11.42578125" customWidth="1"/>
    <col min="16" max="16" width="7.5703125" customWidth="1"/>
    <col min="17" max="17" width="9.5703125" customWidth="1"/>
    <col min="18" max="18" width="9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>
      <c r="P2" s="112" t="s">
        <v>96</v>
      </c>
      <c r="Q2" s="112"/>
    </row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35</v>
      </c>
      <c r="N3" s="96"/>
      <c r="O3" s="96"/>
    </row>
    <row r="4" spans="1:20" ht="15.75" thickBot="1">
      <c r="A4" s="94" t="s">
        <v>14</v>
      </c>
      <c r="B4" s="95"/>
      <c r="C4" s="31"/>
      <c r="D4" s="1">
        <v>349.5</v>
      </c>
      <c r="E4" s="8" t="s">
        <v>27</v>
      </c>
      <c r="K4" s="97" t="s">
        <v>61</v>
      </c>
      <c r="L4" s="97"/>
      <c r="M4" s="97"/>
      <c r="N4" s="97"/>
      <c r="O4" s="3">
        <v>11410.31</v>
      </c>
    </row>
    <row r="5" spans="1:20" ht="15.75" thickBot="1">
      <c r="A5" s="94" t="s">
        <v>13</v>
      </c>
      <c r="B5" s="95"/>
      <c r="C5" s="31"/>
      <c r="D5" s="1">
        <v>2</v>
      </c>
      <c r="K5" s="97" t="s">
        <v>84</v>
      </c>
      <c r="L5" s="97"/>
      <c r="M5" s="97"/>
      <c r="N5" s="97"/>
      <c r="O5" s="3">
        <v>12260.97</v>
      </c>
    </row>
    <row r="6" spans="1:20" ht="15.75" thickBot="1">
      <c r="A6" s="94" t="s">
        <v>15</v>
      </c>
      <c r="B6" s="95"/>
      <c r="C6" s="31"/>
      <c r="D6" s="1">
        <v>27449.78</v>
      </c>
      <c r="K6" s="97" t="s">
        <v>62</v>
      </c>
      <c r="L6" s="97"/>
      <c r="M6" s="97"/>
      <c r="N6" s="97"/>
      <c r="O6" s="3">
        <v>17550.22</v>
      </c>
    </row>
    <row r="7" spans="1:20">
      <c r="K7" s="102" t="s">
        <v>64</v>
      </c>
      <c r="L7" s="102"/>
      <c r="M7" s="97"/>
      <c r="N7" s="97"/>
      <c r="O7" s="3">
        <f>O4+O5-O6</f>
        <v>6121.0599999999977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5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8992.2000000000007</v>
      </c>
      <c r="C11" s="15"/>
      <c r="D11" s="3">
        <f>D10*349.5</f>
        <v>1031.0250000000001</v>
      </c>
      <c r="E11" s="3">
        <f t="shared" ref="E11:J11" si="0">E10*349.5</f>
        <v>384.45000000000005</v>
      </c>
      <c r="F11" s="3">
        <f t="shared" si="0"/>
        <v>174.75</v>
      </c>
      <c r="G11" s="3"/>
      <c r="H11" s="3"/>
      <c r="I11" s="3">
        <f t="shared" si="0"/>
        <v>174.75</v>
      </c>
      <c r="J11" s="3">
        <f t="shared" si="0"/>
        <v>104.85</v>
      </c>
      <c r="K11" s="3"/>
      <c r="L11" s="3">
        <v>160</v>
      </c>
      <c r="M11" s="11">
        <f>M10*349.5</f>
        <v>157.27500000000001</v>
      </c>
      <c r="N11" s="3">
        <v>225.11</v>
      </c>
      <c r="O11" s="3">
        <f>O10*349.5</f>
        <v>580.16999999999996</v>
      </c>
      <c r="P11" s="3">
        <v>1674.6</v>
      </c>
      <c r="Q11" s="3">
        <f t="shared" ref="Q11:Q16" si="1">SUM(D11:P11)</f>
        <v>4666.9799999999996</v>
      </c>
      <c r="R11" s="3">
        <f>D6+B11-Q11</f>
        <v>31774.999999999996</v>
      </c>
    </row>
    <row r="12" spans="1:20">
      <c r="A12" s="3" t="s">
        <v>1</v>
      </c>
      <c r="B12" s="5">
        <v>10900.07</v>
      </c>
      <c r="C12" s="15"/>
      <c r="D12" s="3">
        <v>1031.0250000000001</v>
      </c>
      <c r="E12" s="3">
        <v>384.45000000000005</v>
      </c>
      <c r="F12" s="3">
        <v>174.75</v>
      </c>
      <c r="G12" s="3"/>
      <c r="H12" s="3"/>
      <c r="I12" s="3">
        <v>174.75</v>
      </c>
      <c r="J12" s="3">
        <v>104.85</v>
      </c>
      <c r="K12" s="3"/>
      <c r="L12" s="3"/>
      <c r="M12" s="3">
        <v>157.28</v>
      </c>
      <c r="N12" s="3">
        <v>6006.27</v>
      </c>
      <c r="O12" s="3">
        <v>580.20000000000005</v>
      </c>
      <c r="P12" s="3">
        <v>2093.25</v>
      </c>
      <c r="Q12" s="3">
        <f t="shared" si="1"/>
        <v>10706.825000000001</v>
      </c>
      <c r="R12" s="3">
        <f>R11+B12-Q12</f>
        <v>31968.244999999992</v>
      </c>
    </row>
    <row r="13" spans="1:20">
      <c r="A13" s="3" t="s">
        <v>2</v>
      </c>
      <c r="B13" s="5">
        <v>9116.4599999999991</v>
      </c>
      <c r="C13" s="15"/>
      <c r="D13" s="3">
        <v>1031.0250000000001</v>
      </c>
      <c r="E13" s="3">
        <v>384.45000000000005</v>
      </c>
      <c r="F13" s="3">
        <v>174.75</v>
      </c>
      <c r="G13" s="3">
        <v>1308</v>
      </c>
      <c r="H13" s="3"/>
      <c r="I13" s="3">
        <v>174.75</v>
      </c>
      <c r="J13" s="3">
        <v>104.85</v>
      </c>
      <c r="K13" s="3"/>
      <c r="L13" s="3">
        <v>625</v>
      </c>
      <c r="M13" s="3">
        <v>157.28</v>
      </c>
      <c r="N13" s="3">
        <v>139.03</v>
      </c>
      <c r="O13" s="3">
        <v>580.20000000000005</v>
      </c>
      <c r="P13" s="3">
        <v>3767.85</v>
      </c>
      <c r="Q13" s="3">
        <f t="shared" si="1"/>
        <v>8447.1849999999995</v>
      </c>
      <c r="R13" s="3">
        <f>R12+B13-Q13</f>
        <v>32637.51999999999</v>
      </c>
    </row>
    <row r="14" spans="1:20">
      <c r="A14" s="3" t="s">
        <v>3</v>
      </c>
      <c r="B14" s="5">
        <v>8592.11</v>
      </c>
      <c r="C14" s="15"/>
      <c r="D14" s="3">
        <v>1031.0250000000001</v>
      </c>
      <c r="E14" s="3">
        <v>384.45000000000005</v>
      </c>
      <c r="F14" s="3">
        <v>174.75</v>
      </c>
      <c r="G14" s="3">
        <v>413</v>
      </c>
      <c r="H14" s="3">
        <v>980</v>
      </c>
      <c r="I14" s="3">
        <v>174.75</v>
      </c>
      <c r="J14" s="3">
        <v>104.85</v>
      </c>
      <c r="K14" s="3"/>
      <c r="L14" s="3"/>
      <c r="M14" s="3">
        <v>157.28</v>
      </c>
      <c r="N14" s="3">
        <v>1036.79</v>
      </c>
      <c r="O14" s="3">
        <v>580.20000000000005</v>
      </c>
      <c r="P14" s="3">
        <v>3349.2</v>
      </c>
      <c r="Q14" s="3">
        <f t="shared" si="1"/>
        <v>8386.2950000000001</v>
      </c>
      <c r="R14" s="3">
        <f>R13+B14-Q14</f>
        <v>32843.334999999992</v>
      </c>
    </row>
    <row r="15" spans="1:20">
      <c r="A15" s="3" t="s">
        <v>4</v>
      </c>
      <c r="B15" s="5">
        <v>7888.75</v>
      </c>
      <c r="C15" s="15"/>
      <c r="D15" s="3">
        <v>1031.0250000000001</v>
      </c>
      <c r="E15" s="3">
        <v>384.45000000000005</v>
      </c>
      <c r="F15" s="3">
        <v>174.75</v>
      </c>
      <c r="G15" s="3"/>
      <c r="H15" s="3"/>
      <c r="I15" s="3">
        <v>174.75</v>
      </c>
      <c r="J15" s="3">
        <v>104.85</v>
      </c>
      <c r="K15" s="3"/>
      <c r="L15" s="3"/>
      <c r="M15" s="3">
        <v>157.28</v>
      </c>
      <c r="N15" s="3">
        <v>236.04</v>
      </c>
      <c r="O15" s="3">
        <v>580.20000000000005</v>
      </c>
      <c r="P15" s="3">
        <v>4186.5</v>
      </c>
      <c r="Q15" s="3">
        <f t="shared" si="1"/>
        <v>7029.8450000000003</v>
      </c>
      <c r="R15" s="3">
        <f>R14+B15-Q15</f>
        <v>33702.239999999991</v>
      </c>
    </row>
    <row r="16" spans="1:20">
      <c r="A16" s="3" t="s">
        <v>5</v>
      </c>
      <c r="B16" s="5">
        <v>9546.66</v>
      </c>
      <c r="C16" s="15"/>
      <c r="D16" s="3">
        <v>1031.0250000000001</v>
      </c>
      <c r="E16" s="3">
        <v>384.45000000000005</v>
      </c>
      <c r="F16" s="3">
        <v>174.75</v>
      </c>
      <c r="G16" s="3"/>
      <c r="H16" s="3"/>
      <c r="I16" s="3">
        <v>174.75</v>
      </c>
      <c r="J16" s="3">
        <v>104.85</v>
      </c>
      <c r="K16" s="3"/>
      <c r="L16" s="3"/>
      <c r="M16" s="3">
        <v>157.28</v>
      </c>
      <c r="N16" s="3">
        <v>27449.8</v>
      </c>
      <c r="O16" s="3">
        <v>580.20000000000005</v>
      </c>
      <c r="P16" s="3">
        <v>5861.1</v>
      </c>
      <c r="Q16" s="3">
        <f t="shared" si="1"/>
        <v>35918.205000000002</v>
      </c>
      <c r="R16" s="3">
        <f>R15+B16-Q16</f>
        <v>7330.6949999999924</v>
      </c>
    </row>
    <row r="17" spans="1:18" s="45" customFormat="1">
      <c r="A17" s="6" t="s">
        <v>81</v>
      </c>
      <c r="B17" s="10">
        <f>SUM(B11:B16)</f>
        <v>55036.25</v>
      </c>
      <c r="C17" s="10">
        <f t="shared" ref="C17:Q17" si="2">SUM(C11:C16)</f>
        <v>0</v>
      </c>
      <c r="D17" s="10">
        <f t="shared" si="2"/>
        <v>6186.15</v>
      </c>
      <c r="E17" s="10">
        <f t="shared" si="2"/>
        <v>2306.7000000000003</v>
      </c>
      <c r="F17" s="10">
        <f t="shared" si="2"/>
        <v>1048.5</v>
      </c>
      <c r="G17" s="10">
        <f t="shared" si="2"/>
        <v>1721</v>
      </c>
      <c r="H17" s="10">
        <f t="shared" si="2"/>
        <v>980</v>
      </c>
      <c r="I17" s="10">
        <f t="shared" si="2"/>
        <v>1048.5</v>
      </c>
      <c r="J17" s="10">
        <f t="shared" si="2"/>
        <v>629.1</v>
      </c>
      <c r="K17" s="10">
        <f t="shared" si="2"/>
        <v>0</v>
      </c>
      <c r="L17" s="10">
        <f t="shared" si="2"/>
        <v>785</v>
      </c>
      <c r="M17" s="10">
        <f t="shared" si="2"/>
        <v>943.67499999999995</v>
      </c>
      <c r="N17" s="10">
        <f t="shared" si="2"/>
        <v>35093.040000000001</v>
      </c>
      <c r="O17" s="10">
        <f t="shared" si="2"/>
        <v>3481.17</v>
      </c>
      <c r="P17" s="10">
        <f t="shared" si="2"/>
        <v>20932.5</v>
      </c>
      <c r="Q17" s="10">
        <f t="shared" si="2"/>
        <v>75155.334999999992</v>
      </c>
      <c r="R17" s="6"/>
    </row>
    <row r="18" spans="1:18" s="43" customFormat="1">
      <c r="A18" s="41">
        <v>42.2</v>
      </c>
      <c r="B18" s="41"/>
      <c r="C18" s="41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1">
        <v>1.81</v>
      </c>
      <c r="P18" s="41">
        <v>25.63</v>
      </c>
      <c r="Q18" s="41"/>
      <c r="R18" s="3">
        <f>R16+B18-Q18</f>
        <v>7330.6949999999924</v>
      </c>
    </row>
    <row r="19" spans="1:18">
      <c r="A19" s="3" t="s">
        <v>6</v>
      </c>
      <c r="B19" s="5">
        <v>7120.39</v>
      </c>
      <c r="C19" s="11">
        <f>B19*2.5/100</f>
        <v>178.00975000000003</v>
      </c>
      <c r="D19" s="3">
        <f>D18*349.5</f>
        <v>926.17499999999995</v>
      </c>
      <c r="E19" s="3">
        <f t="shared" ref="E19:O19" si="3">E18*349.5</f>
        <v>314.55</v>
      </c>
      <c r="F19" s="3">
        <f t="shared" si="3"/>
        <v>174.75</v>
      </c>
      <c r="G19" s="3"/>
      <c r="H19" s="3"/>
      <c r="I19" s="3">
        <f t="shared" si="3"/>
        <v>139.80000000000001</v>
      </c>
      <c r="J19" s="3">
        <f t="shared" si="3"/>
        <v>104.85</v>
      </c>
      <c r="K19" s="11">
        <f t="shared" si="3"/>
        <v>38.445</v>
      </c>
      <c r="L19" s="11"/>
      <c r="M19" s="3">
        <f t="shared" si="3"/>
        <v>332.02499999999998</v>
      </c>
      <c r="N19" s="74">
        <v>1762.36</v>
      </c>
      <c r="O19" s="11">
        <f t="shared" si="3"/>
        <v>632.59500000000003</v>
      </c>
      <c r="P19" s="3">
        <v>4605.1499999999996</v>
      </c>
      <c r="Q19" s="11">
        <f>SUM(C19:P19)</f>
        <v>9208.7097499999982</v>
      </c>
      <c r="R19" s="3">
        <f t="shared" ref="R19:R24" si="4">R18+B19-Q19</f>
        <v>5242.3752499999937</v>
      </c>
    </row>
    <row r="20" spans="1:18">
      <c r="A20" s="3" t="s">
        <v>7</v>
      </c>
      <c r="B20" s="5">
        <v>10924.84</v>
      </c>
      <c r="C20" s="11">
        <f t="shared" ref="C20:C24" si="5">B20*2.5/100</f>
        <v>273.12099999999998</v>
      </c>
      <c r="D20" s="3">
        <v>926.17499999999995</v>
      </c>
      <c r="E20" s="3">
        <v>314.55</v>
      </c>
      <c r="F20" s="3">
        <v>174.75</v>
      </c>
      <c r="G20" s="3"/>
      <c r="H20" s="3"/>
      <c r="I20" s="3">
        <v>139.80000000000001</v>
      </c>
      <c r="J20" s="3">
        <v>104.85</v>
      </c>
      <c r="K20" s="3">
        <v>38.450000000000003</v>
      </c>
      <c r="L20" s="3"/>
      <c r="M20" s="3">
        <v>332.02499999999998</v>
      </c>
      <c r="N20" s="74">
        <v>69.959999999999994</v>
      </c>
      <c r="O20" s="11">
        <v>632.59500000000003</v>
      </c>
      <c r="P20" s="3">
        <v>3767.85</v>
      </c>
      <c r="Q20" s="11">
        <f t="shared" ref="Q20:Q24" si="6">SUM(C20:P20)</f>
        <v>6774.1260000000002</v>
      </c>
      <c r="R20" s="3">
        <f t="shared" si="4"/>
        <v>9393.0892499999936</v>
      </c>
    </row>
    <row r="21" spans="1:18">
      <c r="A21" s="3" t="s">
        <v>8</v>
      </c>
      <c r="B21" s="5">
        <v>8090.49</v>
      </c>
      <c r="C21" s="11">
        <f t="shared" si="5"/>
        <v>202.26224999999999</v>
      </c>
      <c r="D21" s="3">
        <v>926.17499999999995</v>
      </c>
      <c r="E21" s="3">
        <v>314.55</v>
      </c>
      <c r="F21" s="3">
        <v>174.75</v>
      </c>
      <c r="G21" s="3"/>
      <c r="H21" s="3"/>
      <c r="I21" s="3">
        <v>139.80000000000001</v>
      </c>
      <c r="J21" s="3">
        <v>104.85</v>
      </c>
      <c r="K21" s="3">
        <v>38.450000000000003</v>
      </c>
      <c r="L21" s="3"/>
      <c r="M21" s="3">
        <v>332.02499999999998</v>
      </c>
      <c r="N21" s="3">
        <v>1379.33</v>
      </c>
      <c r="O21" s="11">
        <v>632.6</v>
      </c>
      <c r="P21" s="3">
        <v>2511.9</v>
      </c>
      <c r="Q21" s="11">
        <f t="shared" si="6"/>
        <v>6756.6922500000001</v>
      </c>
      <c r="R21" s="3">
        <f t="shared" si="4"/>
        <v>10726.886999999995</v>
      </c>
    </row>
    <row r="22" spans="1:18">
      <c r="A22" s="3" t="s">
        <v>9</v>
      </c>
      <c r="B22" s="5">
        <v>8040.04</v>
      </c>
      <c r="C22" s="11">
        <f t="shared" si="5"/>
        <v>201.00099999999998</v>
      </c>
      <c r="D22" s="3">
        <v>926.17499999999995</v>
      </c>
      <c r="E22" s="3">
        <v>314.55</v>
      </c>
      <c r="F22" s="3">
        <v>174.75</v>
      </c>
      <c r="G22" s="3"/>
      <c r="H22" s="3"/>
      <c r="I22" s="3">
        <v>139.80000000000001</v>
      </c>
      <c r="J22" s="3">
        <v>104.85</v>
      </c>
      <c r="K22" s="3">
        <v>38.450000000000003</v>
      </c>
      <c r="L22" s="3"/>
      <c r="M22" s="3">
        <v>332.02499999999998</v>
      </c>
      <c r="N22" s="3">
        <v>501.67</v>
      </c>
      <c r="O22" s="3">
        <f>D4*2.16</f>
        <v>754.92000000000007</v>
      </c>
      <c r="P22" s="3">
        <v>3349.2</v>
      </c>
      <c r="Q22" s="11">
        <f t="shared" si="6"/>
        <v>6837.3909999999996</v>
      </c>
      <c r="R22" s="3">
        <f t="shared" si="4"/>
        <v>11929.535999999996</v>
      </c>
    </row>
    <row r="23" spans="1:18">
      <c r="A23" s="3" t="s">
        <v>10</v>
      </c>
      <c r="B23" s="5">
        <v>11958.59</v>
      </c>
      <c r="C23" s="11">
        <f t="shared" si="5"/>
        <v>298.96474999999998</v>
      </c>
      <c r="D23" s="3">
        <v>926.17499999999995</v>
      </c>
      <c r="E23" s="3">
        <v>314.55</v>
      </c>
      <c r="F23" s="3">
        <v>174.75</v>
      </c>
      <c r="G23" s="3"/>
      <c r="H23" s="3"/>
      <c r="I23" s="3">
        <v>139.80000000000001</v>
      </c>
      <c r="J23" s="3">
        <v>104.85</v>
      </c>
      <c r="K23" s="3">
        <v>38.450000000000003</v>
      </c>
      <c r="L23" s="3"/>
      <c r="M23" s="3">
        <v>332.02499999999998</v>
      </c>
      <c r="N23" s="3">
        <v>2142.7399999999998</v>
      </c>
      <c r="O23" s="3">
        <f>O22</f>
        <v>754.92000000000007</v>
      </c>
      <c r="P23" s="3">
        <v>3349.2</v>
      </c>
      <c r="Q23" s="11">
        <f t="shared" si="6"/>
        <v>8576.4247499999983</v>
      </c>
      <c r="R23" s="3">
        <f t="shared" si="4"/>
        <v>15311.701249999998</v>
      </c>
    </row>
    <row r="24" spans="1:18">
      <c r="A24" s="3" t="s">
        <v>11</v>
      </c>
      <c r="B24" s="5">
        <v>8723.36</v>
      </c>
      <c r="C24" s="11">
        <f t="shared" si="5"/>
        <v>218.084</v>
      </c>
      <c r="D24" s="3">
        <v>926.17499999999995</v>
      </c>
      <c r="E24" s="3">
        <v>314.55</v>
      </c>
      <c r="F24" s="3">
        <v>174.75</v>
      </c>
      <c r="G24" s="3"/>
      <c r="H24" s="3">
        <v>600</v>
      </c>
      <c r="I24" s="3">
        <v>139.80000000000001</v>
      </c>
      <c r="J24" s="3">
        <v>104.85</v>
      </c>
      <c r="K24" s="3">
        <v>38.450000000000003</v>
      </c>
      <c r="L24" s="3"/>
      <c r="M24" s="3">
        <v>332.02499999999998</v>
      </c>
      <c r="N24" s="3">
        <v>481.72</v>
      </c>
      <c r="O24" s="3">
        <f>O23</f>
        <v>754.92000000000007</v>
      </c>
      <c r="P24" s="3">
        <v>3349.2</v>
      </c>
      <c r="Q24" s="11">
        <f t="shared" si="6"/>
        <v>7434.5240000000003</v>
      </c>
      <c r="R24" s="3">
        <f t="shared" si="4"/>
        <v>16600.537249999998</v>
      </c>
    </row>
    <row r="25" spans="1:18" s="45" customFormat="1">
      <c r="A25" s="6" t="s">
        <v>82</v>
      </c>
      <c r="B25" s="10">
        <f>SUM(B19:B24)</f>
        <v>54857.710000000006</v>
      </c>
      <c r="C25" s="10">
        <f t="shared" ref="C25:Q25" si="7">SUM(C19:C24)</f>
        <v>1371.4427499999999</v>
      </c>
      <c r="D25" s="10">
        <f t="shared" si="7"/>
        <v>5557.05</v>
      </c>
      <c r="E25" s="10">
        <f t="shared" si="7"/>
        <v>1887.3</v>
      </c>
      <c r="F25" s="10">
        <f t="shared" si="7"/>
        <v>1048.5</v>
      </c>
      <c r="G25" s="10">
        <f t="shared" si="7"/>
        <v>0</v>
      </c>
      <c r="H25" s="10">
        <f t="shared" si="7"/>
        <v>600</v>
      </c>
      <c r="I25" s="10">
        <f t="shared" si="7"/>
        <v>838.8</v>
      </c>
      <c r="J25" s="10">
        <f t="shared" si="7"/>
        <v>629.1</v>
      </c>
      <c r="K25" s="10">
        <f t="shared" si="7"/>
        <v>230.69499999999999</v>
      </c>
      <c r="L25" s="10">
        <f t="shared" si="7"/>
        <v>0</v>
      </c>
      <c r="M25" s="10">
        <f t="shared" si="7"/>
        <v>1992.15</v>
      </c>
      <c r="N25" s="10">
        <f t="shared" si="7"/>
        <v>6337.78</v>
      </c>
      <c r="O25" s="10">
        <f t="shared" si="7"/>
        <v>4162.55</v>
      </c>
      <c r="P25" s="10">
        <f t="shared" si="7"/>
        <v>20932.5</v>
      </c>
      <c r="Q25" s="10">
        <f t="shared" si="7"/>
        <v>45587.867749999998</v>
      </c>
      <c r="R25" s="6"/>
    </row>
    <row r="26" spans="1:18" s="47" customFormat="1">
      <c r="A26" s="46" t="s">
        <v>55</v>
      </c>
      <c r="B26" s="46">
        <f>B17+B25</f>
        <v>109893.96</v>
      </c>
      <c r="C26" s="46">
        <f t="shared" ref="C26:Q26" si="8">C17+C25</f>
        <v>1371.4427499999999</v>
      </c>
      <c r="D26" s="46">
        <f t="shared" si="8"/>
        <v>11743.2</v>
      </c>
      <c r="E26" s="46">
        <f t="shared" si="8"/>
        <v>4194</v>
      </c>
      <c r="F26" s="46">
        <f t="shared" si="8"/>
        <v>2097</v>
      </c>
      <c r="G26" s="46">
        <f t="shared" si="8"/>
        <v>1721</v>
      </c>
      <c r="H26" s="46">
        <f t="shared" si="8"/>
        <v>1580</v>
      </c>
      <c r="I26" s="46">
        <f t="shared" si="8"/>
        <v>1887.3</v>
      </c>
      <c r="J26" s="46">
        <f t="shared" si="8"/>
        <v>1258.2</v>
      </c>
      <c r="K26" s="46">
        <f t="shared" si="8"/>
        <v>230.69499999999999</v>
      </c>
      <c r="L26" s="46">
        <f t="shared" si="8"/>
        <v>785</v>
      </c>
      <c r="M26" s="46">
        <f t="shared" si="8"/>
        <v>2935.8249999999998</v>
      </c>
      <c r="N26" s="46">
        <f t="shared" si="8"/>
        <v>41430.82</v>
      </c>
      <c r="O26" s="46">
        <f t="shared" si="8"/>
        <v>7643.72</v>
      </c>
      <c r="P26" s="46">
        <f t="shared" si="8"/>
        <v>41865</v>
      </c>
      <c r="Q26" s="46">
        <f t="shared" si="8"/>
        <v>120743.20275</v>
      </c>
      <c r="R26" s="46">
        <f>D6+B26-Q26</f>
        <v>16600.537249999994</v>
      </c>
    </row>
    <row r="28" spans="1:18">
      <c r="A28" s="3" t="s">
        <v>70</v>
      </c>
      <c r="B28" s="3"/>
      <c r="C28" s="3"/>
      <c r="D28" s="57">
        <v>160</v>
      </c>
    </row>
    <row r="29" spans="1:18">
      <c r="A29" s="3" t="s">
        <v>69</v>
      </c>
      <c r="B29" s="3"/>
      <c r="C29" s="3"/>
      <c r="D29" s="57">
        <v>625</v>
      </c>
    </row>
    <row r="30" spans="1:18" ht="27.6" customHeight="1">
      <c r="A30" s="110" t="s">
        <v>77</v>
      </c>
      <c r="B30" s="111"/>
      <c r="C30" s="34"/>
      <c r="D30" s="3">
        <v>45000</v>
      </c>
    </row>
  </sheetData>
  <mergeCells count="19">
    <mergeCell ref="Q8:Q9"/>
    <mergeCell ref="R8:R9"/>
    <mergeCell ref="A1:R1"/>
    <mergeCell ref="A3:B3"/>
    <mergeCell ref="D3:E3"/>
    <mergeCell ref="F3:G3"/>
    <mergeCell ref="A4:B4"/>
    <mergeCell ref="A5:B5"/>
    <mergeCell ref="A6:B6"/>
    <mergeCell ref="A8:A9"/>
    <mergeCell ref="B8:B9"/>
    <mergeCell ref="D8:P8"/>
    <mergeCell ref="P2:Q2"/>
    <mergeCell ref="A30:B30"/>
    <mergeCell ref="N3:O3"/>
    <mergeCell ref="K4:N4"/>
    <mergeCell ref="K5:N5"/>
    <mergeCell ref="K6:N6"/>
    <mergeCell ref="K7:N7"/>
  </mergeCells>
  <pageMargins left="0.25" right="0.25" top="0.75" bottom="0.75" header="0.3" footer="0.3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T30"/>
  <sheetViews>
    <sheetView workbookViewId="0">
      <selection activeCell="C26" sqref="C26:P26"/>
    </sheetView>
  </sheetViews>
  <sheetFormatPr defaultRowHeight="15"/>
  <cols>
    <col min="1" max="1" width="14.140625" customWidth="1"/>
    <col min="2" max="3" width="9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11.5703125" customWidth="1"/>
    <col min="16" max="16" width="7.5703125" customWidth="1"/>
    <col min="17" max="17" width="10.28515625" customWidth="1"/>
    <col min="18" max="18" width="9.57031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36</v>
      </c>
      <c r="N3" s="96"/>
      <c r="O3" s="96"/>
    </row>
    <row r="4" spans="1:20" ht="15.75" thickBot="1">
      <c r="A4" s="94" t="s">
        <v>14</v>
      </c>
      <c r="B4" s="95"/>
      <c r="C4" s="31"/>
      <c r="D4" s="1">
        <v>318.5</v>
      </c>
      <c r="E4" s="8" t="s">
        <v>27</v>
      </c>
      <c r="K4" s="97" t="s">
        <v>61</v>
      </c>
      <c r="L4" s="97"/>
      <c r="M4" s="97"/>
      <c r="N4" s="97"/>
      <c r="O4" s="3">
        <v>6219.34</v>
      </c>
    </row>
    <row r="5" spans="1:20" ht="15.75" thickBot="1">
      <c r="A5" s="94" t="s">
        <v>13</v>
      </c>
      <c r="B5" s="95"/>
      <c r="C5" s="31"/>
      <c r="D5" s="1">
        <v>3</v>
      </c>
      <c r="K5" s="97" t="s">
        <v>84</v>
      </c>
      <c r="L5" s="97"/>
      <c r="M5" s="97"/>
      <c r="N5" s="97"/>
      <c r="O5" s="3">
        <v>8737.17</v>
      </c>
    </row>
    <row r="6" spans="1:20" ht="15.75" thickBot="1">
      <c r="A6" s="94" t="s">
        <v>15</v>
      </c>
      <c r="B6" s="95"/>
      <c r="C6" s="31"/>
      <c r="D6" s="1">
        <v>18191.810000000001</v>
      </c>
      <c r="K6" s="97" t="s">
        <v>62</v>
      </c>
      <c r="L6" s="97"/>
      <c r="M6" s="97"/>
      <c r="N6" s="97"/>
      <c r="O6" s="3">
        <v>28177.4</v>
      </c>
    </row>
    <row r="7" spans="1:20">
      <c r="K7" s="102" t="s">
        <v>64</v>
      </c>
      <c r="L7" s="102"/>
      <c r="M7" s="97"/>
      <c r="N7" s="97"/>
      <c r="O7" s="3">
        <f>O4+O5-O6</f>
        <v>-13220.890000000001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12.41</v>
      </c>
      <c r="B10" s="10"/>
      <c r="C10" s="20"/>
      <c r="D10" s="6">
        <v>2.95</v>
      </c>
      <c r="E10" s="6">
        <v>1</v>
      </c>
      <c r="F10" s="6">
        <v>0.31</v>
      </c>
      <c r="G10" s="6">
        <v>0.43</v>
      </c>
      <c r="H10" s="6">
        <v>0.21</v>
      </c>
      <c r="I10" s="6">
        <v>0.5</v>
      </c>
      <c r="J10" s="6">
        <v>0.3</v>
      </c>
      <c r="K10" s="6"/>
      <c r="L10" s="6">
        <v>0.1</v>
      </c>
      <c r="M10" s="6">
        <v>0.45</v>
      </c>
      <c r="N10" s="65">
        <v>4.5</v>
      </c>
      <c r="O10" s="4">
        <v>1.66</v>
      </c>
      <c r="P10" s="4"/>
      <c r="Q10" s="3"/>
      <c r="R10" s="3"/>
    </row>
    <row r="11" spans="1:20">
      <c r="A11" s="3" t="s">
        <v>0</v>
      </c>
      <c r="B11" s="5">
        <v>5417.32</v>
      </c>
      <c r="C11" s="15"/>
      <c r="D11" s="3">
        <f>D10*318.5</f>
        <v>939.57500000000005</v>
      </c>
      <c r="E11" s="3">
        <f t="shared" ref="E11:O11" si="0">E10*318.5</f>
        <v>318.5</v>
      </c>
      <c r="F11" s="3">
        <f t="shared" si="0"/>
        <v>98.734999999999999</v>
      </c>
      <c r="G11" s="3"/>
      <c r="H11" s="3"/>
      <c r="I11" s="3">
        <f t="shared" si="0"/>
        <v>159.25</v>
      </c>
      <c r="J11" s="3">
        <f t="shared" si="0"/>
        <v>95.55</v>
      </c>
      <c r="K11" s="3"/>
      <c r="L11" s="3"/>
      <c r="M11" s="3">
        <f t="shared" si="0"/>
        <v>143.32500000000002</v>
      </c>
      <c r="N11" s="3">
        <v>353.23</v>
      </c>
      <c r="O11" s="3">
        <f t="shared" si="0"/>
        <v>528.70999999999992</v>
      </c>
      <c r="P11" s="3"/>
      <c r="Q11" s="3">
        <f t="shared" ref="Q11:Q16" si="1">SUM(D11:P11)</f>
        <v>2636.875</v>
      </c>
      <c r="R11" s="3">
        <f>D6+B11-Q11</f>
        <v>20972.255000000001</v>
      </c>
    </row>
    <row r="12" spans="1:20">
      <c r="A12" s="3" t="s">
        <v>1</v>
      </c>
      <c r="B12" s="5">
        <v>4612.75</v>
      </c>
      <c r="C12" s="15"/>
      <c r="D12" s="3">
        <v>939.57500000000005</v>
      </c>
      <c r="E12" s="3">
        <v>318.5</v>
      </c>
      <c r="F12" s="3">
        <v>98.734999999999999</v>
      </c>
      <c r="G12" s="3"/>
      <c r="H12" s="3"/>
      <c r="I12" s="3">
        <v>159.25</v>
      </c>
      <c r="J12" s="3">
        <v>95.55</v>
      </c>
      <c r="K12" s="3"/>
      <c r="L12" s="3"/>
      <c r="M12" s="3">
        <v>143.32500000000002</v>
      </c>
      <c r="N12" s="3">
        <v>306.45999999999998</v>
      </c>
      <c r="O12" s="3">
        <v>528.70999999999992</v>
      </c>
      <c r="P12" s="3"/>
      <c r="Q12" s="3">
        <f t="shared" si="1"/>
        <v>2590.105</v>
      </c>
      <c r="R12" s="3">
        <f>R11+B12-Q12</f>
        <v>22994.9</v>
      </c>
    </row>
    <row r="13" spans="1:20">
      <c r="A13" s="3" t="s">
        <v>2</v>
      </c>
      <c r="B13" s="5">
        <v>5955.11</v>
      </c>
      <c r="C13" s="15"/>
      <c r="D13" s="3">
        <v>939.57500000000005</v>
      </c>
      <c r="E13" s="3">
        <v>318.5</v>
      </c>
      <c r="F13" s="3">
        <v>98.734999999999999</v>
      </c>
      <c r="G13" s="3">
        <v>823.99</v>
      </c>
      <c r="H13" s="3"/>
      <c r="I13" s="3">
        <v>159.25</v>
      </c>
      <c r="J13" s="3">
        <v>95.55</v>
      </c>
      <c r="K13" s="3"/>
      <c r="L13" s="3"/>
      <c r="M13" s="3">
        <v>143.32500000000002</v>
      </c>
      <c r="N13" s="3">
        <v>219.16</v>
      </c>
      <c r="O13" s="3">
        <v>528.70999999999992</v>
      </c>
      <c r="P13" s="3"/>
      <c r="Q13" s="3">
        <f t="shared" si="1"/>
        <v>3326.7950000000001</v>
      </c>
      <c r="R13" s="3">
        <f>R12+B13-Q13</f>
        <v>25623.215000000004</v>
      </c>
    </row>
    <row r="14" spans="1:20">
      <c r="A14" s="3" t="s">
        <v>3</v>
      </c>
      <c r="B14" s="5">
        <v>5346.48</v>
      </c>
      <c r="C14" s="15"/>
      <c r="D14" s="3">
        <v>939.57500000000005</v>
      </c>
      <c r="E14" s="3">
        <v>318.5</v>
      </c>
      <c r="F14" s="3">
        <v>98.734999999999999</v>
      </c>
      <c r="G14" s="3">
        <v>137</v>
      </c>
      <c r="H14" s="3">
        <v>320</v>
      </c>
      <c r="I14" s="3">
        <v>159.25</v>
      </c>
      <c r="J14" s="3">
        <v>95.55</v>
      </c>
      <c r="K14" s="3"/>
      <c r="L14" s="3"/>
      <c r="M14" s="3">
        <v>143.32500000000002</v>
      </c>
      <c r="N14" s="3">
        <v>1250.5</v>
      </c>
      <c r="O14" s="3">
        <v>528.70999999999992</v>
      </c>
      <c r="P14" s="3"/>
      <c r="Q14" s="3">
        <f t="shared" si="1"/>
        <v>3991.145</v>
      </c>
      <c r="R14" s="3">
        <f>R13+B14-Q14</f>
        <v>26978.550000000003</v>
      </c>
    </row>
    <row r="15" spans="1:20">
      <c r="A15" s="3" t="s">
        <v>4</v>
      </c>
      <c r="B15" s="5">
        <v>3268.56</v>
      </c>
      <c r="C15" s="15"/>
      <c r="D15" s="3">
        <v>939.57500000000005</v>
      </c>
      <c r="E15" s="3">
        <v>318.5</v>
      </c>
      <c r="F15" s="3">
        <v>98.734999999999999</v>
      </c>
      <c r="G15" s="3"/>
      <c r="H15" s="3"/>
      <c r="I15" s="3">
        <v>159.25</v>
      </c>
      <c r="J15" s="3">
        <v>95.55</v>
      </c>
      <c r="K15" s="3"/>
      <c r="L15" s="57">
        <v>402.58</v>
      </c>
      <c r="M15" s="3">
        <v>143.32500000000002</v>
      </c>
      <c r="N15" s="3">
        <v>7123.31</v>
      </c>
      <c r="O15" s="3">
        <v>528.70999999999992</v>
      </c>
      <c r="P15" s="3"/>
      <c r="Q15" s="3">
        <f t="shared" si="1"/>
        <v>9809.5349999999999</v>
      </c>
      <c r="R15" s="3">
        <f>R14+B15-Q15</f>
        <v>20437.575000000004</v>
      </c>
    </row>
    <row r="16" spans="1:20">
      <c r="A16" s="3" t="s">
        <v>5</v>
      </c>
      <c r="B16" s="5">
        <v>6017.65</v>
      </c>
      <c r="C16" s="15"/>
      <c r="D16" s="3">
        <v>939.57500000000005</v>
      </c>
      <c r="E16" s="3">
        <v>318.5</v>
      </c>
      <c r="F16" s="3">
        <v>98.734999999999999</v>
      </c>
      <c r="G16" s="3"/>
      <c r="H16" s="3"/>
      <c r="I16" s="3">
        <v>159.25</v>
      </c>
      <c r="J16" s="3">
        <v>95.55</v>
      </c>
      <c r="K16" s="3"/>
      <c r="L16" s="57">
        <v>400</v>
      </c>
      <c r="M16" s="3">
        <v>143.32500000000002</v>
      </c>
      <c r="N16" s="3">
        <v>238.17</v>
      </c>
      <c r="O16" s="3">
        <v>528.70999999999992</v>
      </c>
      <c r="P16" s="3"/>
      <c r="Q16" s="3">
        <f t="shared" si="1"/>
        <v>2921.8150000000001</v>
      </c>
      <c r="R16" s="3">
        <f>R15+B16-Q16</f>
        <v>23533.410000000007</v>
      </c>
    </row>
    <row r="17" spans="1:18" s="45" customFormat="1">
      <c r="A17" s="6" t="s">
        <v>81</v>
      </c>
      <c r="B17" s="10">
        <f>SUM(B11:B16)</f>
        <v>30617.870000000003</v>
      </c>
      <c r="C17" s="10">
        <f t="shared" ref="C17:Q17" si="2">SUM(C11:C16)</f>
        <v>0</v>
      </c>
      <c r="D17" s="10">
        <f t="shared" si="2"/>
        <v>5637.45</v>
      </c>
      <c r="E17" s="10">
        <f t="shared" si="2"/>
        <v>1911</v>
      </c>
      <c r="F17" s="10">
        <f t="shared" si="2"/>
        <v>592.41</v>
      </c>
      <c r="G17" s="10">
        <f t="shared" si="2"/>
        <v>960.99</v>
      </c>
      <c r="H17" s="10">
        <f t="shared" si="2"/>
        <v>320</v>
      </c>
      <c r="I17" s="10">
        <f t="shared" si="2"/>
        <v>955.5</v>
      </c>
      <c r="J17" s="10">
        <f t="shared" si="2"/>
        <v>573.29999999999995</v>
      </c>
      <c r="K17" s="10">
        <f t="shared" si="2"/>
        <v>0</v>
      </c>
      <c r="L17" s="10">
        <f t="shared" si="2"/>
        <v>802.57999999999993</v>
      </c>
      <c r="M17" s="10">
        <f t="shared" si="2"/>
        <v>859.95000000000016</v>
      </c>
      <c r="N17" s="10">
        <f t="shared" si="2"/>
        <v>9490.83</v>
      </c>
      <c r="O17" s="10">
        <f t="shared" si="2"/>
        <v>3172.2599999999998</v>
      </c>
      <c r="P17" s="10">
        <f t="shared" si="2"/>
        <v>0</v>
      </c>
      <c r="Q17" s="10">
        <f t="shared" si="2"/>
        <v>25276.27</v>
      </c>
      <c r="R17" s="6"/>
    </row>
    <row r="18" spans="1:18" s="43" customFormat="1">
      <c r="A18" s="41">
        <v>14.27</v>
      </c>
      <c r="B18" s="41"/>
      <c r="C18" s="41">
        <v>0.17</v>
      </c>
      <c r="D18" s="41">
        <v>2.65</v>
      </c>
      <c r="E18" s="41">
        <v>0.9</v>
      </c>
      <c r="F18" s="41">
        <v>0.5</v>
      </c>
      <c r="G18" s="41">
        <v>0.3</v>
      </c>
      <c r="H18" s="41">
        <v>0.3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90</v>
      </c>
      <c r="O18" s="41">
        <v>1.81</v>
      </c>
      <c r="P18" s="41"/>
      <c r="Q18" s="41"/>
      <c r="R18" s="3">
        <f>R16+B18-Q18</f>
        <v>23533.410000000007</v>
      </c>
    </row>
    <row r="19" spans="1:18">
      <c r="A19" s="3" t="s">
        <v>6</v>
      </c>
      <c r="B19" s="5">
        <v>3070.03</v>
      </c>
      <c r="C19" s="15">
        <f t="shared" ref="C19:C24" si="3">B19*2.5/100</f>
        <v>76.750750000000011</v>
      </c>
      <c r="D19" s="11">
        <f>D18*318.5</f>
        <v>844.02499999999998</v>
      </c>
      <c r="E19" s="3">
        <f t="shared" ref="E19:O19" si="4">E18*318.5</f>
        <v>286.65000000000003</v>
      </c>
      <c r="F19" s="3">
        <f t="shared" si="4"/>
        <v>159.25</v>
      </c>
      <c r="G19" s="3"/>
      <c r="H19" s="3"/>
      <c r="I19" s="3">
        <f t="shared" si="4"/>
        <v>127.4</v>
      </c>
      <c r="J19" s="3">
        <f t="shared" si="4"/>
        <v>95.55</v>
      </c>
      <c r="K19" s="11">
        <f t="shared" si="4"/>
        <v>35.035000000000004</v>
      </c>
      <c r="L19" s="11"/>
      <c r="M19" s="3">
        <f t="shared" si="4"/>
        <v>302.57499999999999</v>
      </c>
      <c r="N19" s="74">
        <v>4289.62</v>
      </c>
      <c r="O19" s="11">
        <f t="shared" si="4"/>
        <v>576.48500000000001</v>
      </c>
      <c r="P19" s="3"/>
      <c r="Q19" s="3">
        <f>SUM(C19:P19)</f>
        <v>6793.3407500000003</v>
      </c>
      <c r="R19" s="3">
        <f t="shared" ref="R19:R24" si="5">R18+B19-Q19</f>
        <v>19810.099250000007</v>
      </c>
    </row>
    <row r="20" spans="1:18">
      <c r="A20" s="3" t="s">
        <v>7</v>
      </c>
      <c r="B20" s="5">
        <v>3638.58</v>
      </c>
      <c r="C20" s="15">
        <f t="shared" si="3"/>
        <v>90.964500000000001</v>
      </c>
      <c r="D20" s="11">
        <v>844.02499999999998</v>
      </c>
      <c r="E20" s="3">
        <v>286.65000000000003</v>
      </c>
      <c r="F20" s="3">
        <v>159.25</v>
      </c>
      <c r="G20" s="3"/>
      <c r="H20" s="3"/>
      <c r="I20" s="3">
        <v>127.4</v>
      </c>
      <c r="J20" s="3">
        <v>95.55</v>
      </c>
      <c r="K20" s="3">
        <v>35.04</v>
      </c>
      <c r="L20" s="3"/>
      <c r="M20" s="3">
        <v>302.57499999999999</v>
      </c>
      <c r="N20" s="74">
        <v>3064.47</v>
      </c>
      <c r="O20" s="11">
        <v>576.48500000000001</v>
      </c>
      <c r="P20" s="3"/>
      <c r="Q20" s="3">
        <f t="shared" ref="Q20:Q24" si="6">SUM(C20:P20)</f>
        <v>5582.4094999999998</v>
      </c>
      <c r="R20" s="3">
        <f t="shared" si="5"/>
        <v>17866.269750000007</v>
      </c>
    </row>
    <row r="21" spans="1:18">
      <c r="A21" s="3" t="s">
        <v>8</v>
      </c>
      <c r="B21" s="5">
        <v>3710.53</v>
      </c>
      <c r="C21" s="15">
        <f t="shared" si="3"/>
        <v>92.763250000000014</v>
      </c>
      <c r="D21" s="11">
        <v>844.02499999999998</v>
      </c>
      <c r="E21" s="3">
        <v>286.65000000000003</v>
      </c>
      <c r="F21" s="3">
        <v>159.25</v>
      </c>
      <c r="G21" s="3"/>
      <c r="H21" s="3"/>
      <c r="I21" s="3">
        <v>127.4</v>
      </c>
      <c r="J21" s="3">
        <v>95.55</v>
      </c>
      <c r="K21" s="3">
        <v>35.04</v>
      </c>
      <c r="L21" s="3"/>
      <c r="M21" s="3">
        <v>302.57499999999999</v>
      </c>
      <c r="N21" s="3">
        <v>1595.02</v>
      </c>
      <c r="O21" s="11">
        <v>576.48500000000001</v>
      </c>
      <c r="P21" s="3"/>
      <c r="Q21" s="3">
        <f t="shared" si="6"/>
        <v>4114.7582499999999</v>
      </c>
      <c r="R21" s="3">
        <f t="shared" si="5"/>
        <v>17462.041500000007</v>
      </c>
    </row>
    <row r="22" spans="1:18">
      <c r="A22" s="3" t="s">
        <v>9</v>
      </c>
      <c r="B22" s="5">
        <v>4031.28</v>
      </c>
      <c r="C22" s="15">
        <f t="shared" si="3"/>
        <v>100.78200000000001</v>
      </c>
      <c r="D22" s="11">
        <v>844.02499999999998</v>
      </c>
      <c r="E22" s="3">
        <v>286.65000000000003</v>
      </c>
      <c r="F22" s="3">
        <v>159.25</v>
      </c>
      <c r="G22" s="3"/>
      <c r="H22" s="3"/>
      <c r="I22" s="3">
        <v>127.4</v>
      </c>
      <c r="J22" s="3">
        <v>95.55</v>
      </c>
      <c r="K22" s="3">
        <v>35.04</v>
      </c>
      <c r="L22" s="3"/>
      <c r="M22" s="3">
        <v>302.57499999999999</v>
      </c>
      <c r="N22" s="3">
        <v>5100.26</v>
      </c>
      <c r="O22" s="3">
        <f>D4*2.16</f>
        <v>687.96</v>
      </c>
      <c r="P22" s="3"/>
      <c r="Q22" s="3">
        <f t="shared" si="6"/>
        <v>7739.4920000000002</v>
      </c>
      <c r="R22" s="3">
        <f t="shared" si="5"/>
        <v>13753.829500000005</v>
      </c>
    </row>
    <row r="23" spans="1:18">
      <c r="A23" s="3" t="s">
        <v>10</v>
      </c>
      <c r="B23" s="5">
        <v>3682.85</v>
      </c>
      <c r="C23" s="15">
        <f t="shared" si="3"/>
        <v>92.071250000000006</v>
      </c>
      <c r="D23" s="11">
        <v>844.02499999999998</v>
      </c>
      <c r="E23" s="3">
        <v>286.65000000000003</v>
      </c>
      <c r="F23" s="3">
        <v>159.25</v>
      </c>
      <c r="G23" s="3"/>
      <c r="H23" s="3"/>
      <c r="I23" s="3">
        <v>127.4</v>
      </c>
      <c r="J23" s="3">
        <v>95.55</v>
      </c>
      <c r="K23" s="3">
        <v>35.04</v>
      </c>
      <c r="L23" s="3"/>
      <c r="M23" s="3">
        <v>302.57499999999999</v>
      </c>
      <c r="N23" s="3">
        <v>7091.1</v>
      </c>
      <c r="O23" s="3">
        <f>O22</f>
        <v>687.96</v>
      </c>
      <c r="P23" s="3"/>
      <c r="Q23" s="3">
        <f t="shared" si="6"/>
        <v>9721.6212500000001</v>
      </c>
      <c r="R23" s="3">
        <f t="shared" si="5"/>
        <v>7715.0582500000055</v>
      </c>
    </row>
    <row r="24" spans="1:18">
      <c r="A24" s="3" t="s">
        <v>11</v>
      </c>
      <c r="B24" s="5">
        <v>4124.7299999999996</v>
      </c>
      <c r="C24" s="15">
        <f t="shared" si="3"/>
        <v>103.11824999999999</v>
      </c>
      <c r="D24" s="11">
        <v>844.02499999999998</v>
      </c>
      <c r="E24" s="3">
        <v>286.65000000000003</v>
      </c>
      <c r="F24" s="3">
        <v>159.25</v>
      </c>
      <c r="G24" s="3"/>
      <c r="H24" s="3">
        <v>200</v>
      </c>
      <c r="I24" s="3">
        <v>127.4</v>
      </c>
      <c r="J24" s="3">
        <v>95.55</v>
      </c>
      <c r="K24" s="3">
        <v>35.04</v>
      </c>
      <c r="L24" s="3"/>
      <c r="M24" s="3">
        <v>302.57499999999999</v>
      </c>
      <c r="N24" s="3">
        <v>263.42</v>
      </c>
      <c r="O24" s="3">
        <f>O23</f>
        <v>687.96</v>
      </c>
      <c r="P24" s="3"/>
      <c r="Q24" s="3">
        <f t="shared" si="6"/>
        <v>3104.9882499999999</v>
      </c>
      <c r="R24" s="3">
        <f t="shared" si="5"/>
        <v>8734.8000000000047</v>
      </c>
    </row>
    <row r="25" spans="1:18" s="45" customFormat="1">
      <c r="A25" s="6" t="s">
        <v>82</v>
      </c>
      <c r="B25" s="10">
        <f>SUM(B19:B24)</f>
        <v>22258</v>
      </c>
      <c r="C25" s="10">
        <f t="shared" ref="C25:Q25" si="7">SUM(C19:C24)</f>
        <v>556.45000000000005</v>
      </c>
      <c r="D25" s="10">
        <f t="shared" si="7"/>
        <v>5064.1499999999996</v>
      </c>
      <c r="E25" s="10">
        <f t="shared" si="7"/>
        <v>1719.9000000000003</v>
      </c>
      <c r="F25" s="10">
        <f t="shared" si="7"/>
        <v>955.5</v>
      </c>
      <c r="G25" s="10">
        <f t="shared" si="7"/>
        <v>0</v>
      </c>
      <c r="H25" s="10">
        <f t="shared" si="7"/>
        <v>200</v>
      </c>
      <c r="I25" s="10">
        <f t="shared" si="7"/>
        <v>764.4</v>
      </c>
      <c r="J25" s="10">
        <f t="shared" si="7"/>
        <v>573.29999999999995</v>
      </c>
      <c r="K25" s="10">
        <f t="shared" si="7"/>
        <v>210.23499999999999</v>
      </c>
      <c r="L25" s="10">
        <f t="shared" si="7"/>
        <v>0</v>
      </c>
      <c r="M25" s="10">
        <f t="shared" si="7"/>
        <v>1815.45</v>
      </c>
      <c r="N25" s="10">
        <f t="shared" si="7"/>
        <v>21403.89</v>
      </c>
      <c r="O25" s="10">
        <f t="shared" si="7"/>
        <v>3793.335</v>
      </c>
      <c r="P25" s="10">
        <f t="shared" si="7"/>
        <v>0</v>
      </c>
      <c r="Q25" s="10">
        <f t="shared" si="7"/>
        <v>37056.610000000008</v>
      </c>
      <c r="R25" s="6"/>
    </row>
    <row r="26" spans="1:18" s="47" customFormat="1">
      <c r="A26" s="46" t="s">
        <v>51</v>
      </c>
      <c r="B26" s="46">
        <f>B17+B25</f>
        <v>52875.87</v>
      </c>
      <c r="C26" s="46">
        <f t="shared" ref="C26:Q26" si="8">C17+C25</f>
        <v>556.45000000000005</v>
      </c>
      <c r="D26" s="46">
        <f t="shared" si="8"/>
        <v>10701.599999999999</v>
      </c>
      <c r="E26" s="46">
        <f t="shared" si="8"/>
        <v>3630.9000000000005</v>
      </c>
      <c r="F26" s="46">
        <f t="shared" si="8"/>
        <v>1547.9099999999999</v>
      </c>
      <c r="G26" s="46">
        <f t="shared" si="8"/>
        <v>960.99</v>
      </c>
      <c r="H26" s="46">
        <f t="shared" si="8"/>
        <v>520</v>
      </c>
      <c r="I26" s="46">
        <f t="shared" si="8"/>
        <v>1719.9</v>
      </c>
      <c r="J26" s="46">
        <f t="shared" si="8"/>
        <v>1146.5999999999999</v>
      </c>
      <c r="K26" s="46">
        <f t="shared" si="8"/>
        <v>210.23499999999999</v>
      </c>
      <c r="L26" s="46">
        <f t="shared" si="8"/>
        <v>802.57999999999993</v>
      </c>
      <c r="M26" s="46">
        <f t="shared" si="8"/>
        <v>2675.4</v>
      </c>
      <c r="N26" s="46">
        <f t="shared" si="8"/>
        <v>30894.720000000001</v>
      </c>
      <c r="O26" s="46">
        <f t="shared" si="8"/>
        <v>6965.5949999999993</v>
      </c>
      <c r="P26" s="46">
        <f t="shared" si="8"/>
        <v>0</v>
      </c>
      <c r="Q26" s="46">
        <f t="shared" si="8"/>
        <v>62332.880000000005</v>
      </c>
      <c r="R26" s="46">
        <f>D6+B26-Q26</f>
        <v>8734.8000000000029</v>
      </c>
    </row>
    <row r="28" spans="1:18">
      <c r="A28" s="113" t="s">
        <v>56</v>
      </c>
      <c r="B28" s="114"/>
      <c r="C28" s="114"/>
      <c r="D28" s="115"/>
      <c r="E28" s="77">
        <v>402.58</v>
      </c>
      <c r="F28" s="76"/>
      <c r="G28" s="76"/>
    </row>
    <row r="29" spans="1:18">
      <c r="A29" s="19" t="s">
        <v>60</v>
      </c>
      <c r="B29" s="19"/>
      <c r="C29" s="35"/>
      <c r="D29" s="74"/>
      <c r="E29" s="77">
        <v>400</v>
      </c>
      <c r="F29" s="76"/>
      <c r="G29" s="27"/>
    </row>
    <row r="30" spans="1:18">
      <c r="A30" s="116" t="s">
        <v>83</v>
      </c>
      <c r="B30" s="116"/>
      <c r="C30" s="116"/>
      <c r="D30" s="116"/>
      <c r="E30" s="3">
        <v>20000</v>
      </c>
    </row>
  </sheetData>
  <mergeCells count="19">
    <mergeCell ref="K7:N7"/>
    <mergeCell ref="A28:D28"/>
    <mergeCell ref="A30:D30"/>
    <mergeCell ref="Q8:Q9"/>
    <mergeCell ref="R8:R9"/>
    <mergeCell ref="A8:A9"/>
    <mergeCell ref="B8:B9"/>
    <mergeCell ref="D8:P8"/>
    <mergeCell ref="A1:R1"/>
    <mergeCell ref="A3:B3"/>
    <mergeCell ref="D3:E3"/>
    <mergeCell ref="F3:G3"/>
    <mergeCell ref="A4:B4"/>
    <mergeCell ref="A5:B5"/>
    <mergeCell ref="N3:O3"/>
    <mergeCell ref="K4:N4"/>
    <mergeCell ref="K5:N5"/>
    <mergeCell ref="A6:B6"/>
    <mergeCell ref="K6:N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T31"/>
  <sheetViews>
    <sheetView topLeftCell="A10" workbookViewId="0">
      <selection activeCell="N28" sqref="N28"/>
    </sheetView>
  </sheetViews>
  <sheetFormatPr defaultRowHeight="15"/>
  <cols>
    <col min="1" max="1" width="12.28515625" customWidth="1"/>
    <col min="2" max="2" width="10.7109375" customWidth="1"/>
    <col min="3" max="4" width="9.42578125" customWidth="1"/>
    <col min="6" max="6" width="8" customWidth="1"/>
    <col min="7" max="7" width="5.5703125" customWidth="1"/>
    <col min="8" max="8" width="7.7109375" customWidth="1"/>
    <col min="9" max="9" width="7.42578125" customWidth="1"/>
    <col min="10" max="11" width="7.5703125" customWidth="1"/>
    <col min="12" max="12" width="7.42578125" customWidth="1"/>
    <col min="13" max="13" width="7.85546875" customWidth="1"/>
    <col min="14" max="14" width="8.42578125" customWidth="1"/>
    <col min="15" max="15" width="9.28515625" customWidth="1"/>
    <col min="16" max="16" width="7.5703125" customWidth="1"/>
    <col min="17" max="17" width="10.85546875" customWidth="1"/>
    <col min="18" max="18" width="9.2851562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37</v>
      </c>
      <c r="N3" s="96"/>
      <c r="O3" s="96"/>
    </row>
    <row r="4" spans="1:20" ht="15.75" thickBot="1">
      <c r="A4" s="94" t="s">
        <v>14</v>
      </c>
      <c r="B4" s="95"/>
      <c r="C4" s="31"/>
      <c r="D4" s="1">
        <v>731.3</v>
      </c>
      <c r="E4" s="8" t="s">
        <v>27</v>
      </c>
      <c r="L4" s="97" t="s">
        <v>61</v>
      </c>
      <c r="M4" s="97"/>
      <c r="N4" s="97"/>
      <c r="O4" s="3">
        <v>49194.81</v>
      </c>
    </row>
    <row r="5" spans="1:20" ht="15.75" thickBot="1">
      <c r="A5" s="94" t="s">
        <v>13</v>
      </c>
      <c r="B5" s="95"/>
      <c r="C5" s="31"/>
      <c r="D5" s="1">
        <v>2</v>
      </c>
      <c r="L5" s="97" t="s">
        <v>84</v>
      </c>
      <c r="M5" s="97"/>
      <c r="N5" s="97"/>
      <c r="O5" s="3">
        <v>22519.09</v>
      </c>
    </row>
    <row r="6" spans="1:20" ht="15.75" thickBot="1">
      <c r="A6" s="94" t="s">
        <v>15</v>
      </c>
      <c r="B6" s="95"/>
      <c r="C6" s="31"/>
      <c r="D6" s="14">
        <v>10170.11</v>
      </c>
      <c r="L6" s="97" t="s">
        <v>62</v>
      </c>
      <c r="M6" s="97"/>
      <c r="N6" s="97"/>
      <c r="O6" s="57">
        <v>16825.009999999998</v>
      </c>
    </row>
    <row r="7" spans="1:20">
      <c r="L7" s="102" t="s">
        <v>64</v>
      </c>
      <c r="M7" s="97"/>
      <c r="N7" s="97"/>
      <c r="O7" s="3">
        <f>O4+O5-O6</f>
        <v>54888.89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4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17907.650000000001</v>
      </c>
      <c r="C11" s="44"/>
      <c r="D11" s="3">
        <f>D10*731.3</f>
        <v>2157.335</v>
      </c>
      <c r="E11" s="3">
        <f t="shared" ref="E11:O11" si="0">E10*731.3</f>
        <v>804.43000000000006</v>
      </c>
      <c r="F11" s="3">
        <f t="shared" si="0"/>
        <v>365.65</v>
      </c>
      <c r="G11" s="3"/>
      <c r="H11" s="3"/>
      <c r="I11" s="3">
        <f t="shared" si="0"/>
        <v>365.65</v>
      </c>
      <c r="J11" s="3">
        <f t="shared" si="0"/>
        <v>219.39</v>
      </c>
      <c r="K11" s="3"/>
      <c r="L11" s="57">
        <v>160</v>
      </c>
      <c r="M11" s="3">
        <f t="shared" si="0"/>
        <v>329.08499999999998</v>
      </c>
      <c r="N11" s="3">
        <v>80.400000000000006</v>
      </c>
      <c r="O11" s="3">
        <f t="shared" si="0"/>
        <v>1213.9579999999999</v>
      </c>
      <c r="P11" s="3">
        <v>6279.75</v>
      </c>
      <c r="Q11" s="3">
        <f t="shared" ref="Q11:Q16" si="1">SUM(D11:P11)</f>
        <v>11975.647999999999</v>
      </c>
      <c r="R11" s="3">
        <f>D6+B11-Q11</f>
        <v>16102.112000000003</v>
      </c>
    </row>
    <row r="12" spans="1:20">
      <c r="A12" s="3" t="s">
        <v>1</v>
      </c>
      <c r="B12" s="5">
        <v>13524.1</v>
      </c>
      <c r="C12" s="44"/>
      <c r="D12" s="3">
        <v>2157.335</v>
      </c>
      <c r="E12" s="3">
        <v>804.43000000000006</v>
      </c>
      <c r="F12" s="3">
        <v>365.65</v>
      </c>
      <c r="G12" s="3"/>
      <c r="H12" s="3"/>
      <c r="I12" s="3">
        <v>365.65</v>
      </c>
      <c r="J12" s="3">
        <v>219.39</v>
      </c>
      <c r="K12" s="3"/>
      <c r="L12" s="57">
        <v>225</v>
      </c>
      <c r="M12" s="3">
        <v>329.08499999999998</v>
      </c>
      <c r="N12" s="3">
        <v>3171.14</v>
      </c>
      <c r="O12" s="3">
        <v>1213.9579999999999</v>
      </c>
      <c r="P12" s="3">
        <v>7535.7</v>
      </c>
      <c r="Q12" s="3">
        <f t="shared" si="1"/>
        <v>16387.338</v>
      </c>
      <c r="R12" s="3">
        <f>R11+B12-Q12</f>
        <v>13238.874000000003</v>
      </c>
    </row>
    <row r="13" spans="1:20" ht="15.75" thickBot="1">
      <c r="A13" s="3" t="s">
        <v>2</v>
      </c>
      <c r="B13" s="5">
        <v>10499.08</v>
      </c>
      <c r="C13" s="44"/>
      <c r="D13" s="3">
        <v>2157.335</v>
      </c>
      <c r="E13" s="3">
        <v>804.43000000000006</v>
      </c>
      <c r="F13" s="3">
        <v>365.65</v>
      </c>
      <c r="G13" s="3">
        <v>3092.99</v>
      </c>
      <c r="H13" s="3"/>
      <c r="I13" s="3">
        <v>365.65</v>
      </c>
      <c r="J13" s="3">
        <v>219.39</v>
      </c>
      <c r="K13" s="3"/>
      <c r="L13" s="57"/>
      <c r="M13" s="3">
        <v>329.08499999999998</v>
      </c>
      <c r="N13" s="3">
        <v>6918.16</v>
      </c>
      <c r="O13" s="3">
        <v>1213.9579999999999</v>
      </c>
      <c r="P13" s="3">
        <v>8373</v>
      </c>
      <c r="Q13" s="3">
        <f t="shared" si="1"/>
        <v>23839.648000000001</v>
      </c>
      <c r="R13" s="17">
        <f>R12+B13-Q13</f>
        <v>-101.69399999999587</v>
      </c>
    </row>
    <row r="14" spans="1:20" ht="15.75" thickBot="1">
      <c r="A14" s="3" t="s">
        <v>3</v>
      </c>
      <c r="B14" s="5">
        <v>23999.85</v>
      </c>
      <c r="C14" s="44"/>
      <c r="D14" s="3">
        <v>2157.335</v>
      </c>
      <c r="E14" s="3">
        <v>804.43000000000006</v>
      </c>
      <c r="F14" s="3">
        <v>365.65</v>
      </c>
      <c r="G14" s="3">
        <v>550</v>
      </c>
      <c r="H14" s="3">
        <v>2060</v>
      </c>
      <c r="I14" s="3">
        <v>365.65</v>
      </c>
      <c r="J14" s="3">
        <v>219.39</v>
      </c>
      <c r="K14" s="3"/>
      <c r="L14" s="57"/>
      <c r="M14" s="3">
        <v>329.08499999999998</v>
      </c>
      <c r="N14" s="3">
        <v>2900.5</v>
      </c>
      <c r="O14" s="3">
        <v>1213.9579999999999</v>
      </c>
      <c r="P14" s="3">
        <v>6279.75</v>
      </c>
      <c r="Q14" s="16">
        <f t="shared" si="1"/>
        <v>17245.748</v>
      </c>
      <c r="R14" s="22">
        <f>R13+B14-Q14</f>
        <v>6652.4080000000031</v>
      </c>
    </row>
    <row r="15" spans="1:20">
      <c r="A15" s="3" t="s">
        <v>4</v>
      </c>
      <c r="B15" s="5">
        <v>18546.88</v>
      </c>
      <c r="C15" s="44"/>
      <c r="D15" s="3">
        <v>2157.335</v>
      </c>
      <c r="E15" s="3">
        <v>804.43000000000006</v>
      </c>
      <c r="F15" s="3">
        <v>365.65</v>
      </c>
      <c r="G15" s="3"/>
      <c r="H15" s="3"/>
      <c r="I15" s="3">
        <v>365.65</v>
      </c>
      <c r="J15" s="3">
        <v>219.39</v>
      </c>
      <c r="K15" s="3"/>
      <c r="L15" s="57">
        <v>924.36</v>
      </c>
      <c r="M15" s="3">
        <v>329.08499999999998</v>
      </c>
      <c r="N15" s="3">
        <v>7540.99</v>
      </c>
      <c r="O15" s="3">
        <v>1213.9579999999999</v>
      </c>
      <c r="P15" s="3">
        <v>9210.2999999999993</v>
      </c>
      <c r="Q15" s="3">
        <f t="shared" si="1"/>
        <v>23131.148000000001</v>
      </c>
      <c r="R15" s="18">
        <f>R14+B15-Q15</f>
        <v>2068.1400000000031</v>
      </c>
    </row>
    <row r="16" spans="1:20">
      <c r="A16" s="3" t="s">
        <v>5</v>
      </c>
      <c r="B16" s="5">
        <v>12271.12</v>
      </c>
      <c r="C16" s="44"/>
      <c r="D16" s="3">
        <v>2157.335</v>
      </c>
      <c r="E16" s="3">
        <v>804.43000000000006</v>
      </c>
      <c r="F16" s="3">
        <v>365.65</v>
      </c>
      <c r="G16" s="3"/>
      <c r="H16" s="3"/>
      <c r="I16" s="3">
        <v>365.65</v>
      </c>
      <c r="J16" s="3">
        <v>219.39</v>
      </c>
      <c r="K16" s="3"/>
      <c r="L16" s="3"/>
      <c r="M16" s="3">
        <v>329.08499999999998</v>
      </c>
      <c r="N16" s="3">
        <v>839.55</v>
      </c>
      <c r="O16" s="3">
        <v>1213.9579999999999</v>
      </c>
      <c r="P16" s="3">
        <v>11722.2</v>
      </c>
      <c r="Q16" s="3">
        <f t="shared" si="1"/>
        <v>18017.248</v>
      </c>
      <c r="R16" s="3">
        <f>R15+B16-Q16</f>
        <v>-3677.9879999999957</v>
      </c>
    </row>
    <row r="17" spans="1:18" s="45" customFormat="1">
      <c r="A17" s="6" t="s">
        <v>81</v>
      </c>
      <c r="B17" s="10">
        <f>SUM(B11:B16)</f>
        <v>96748.68</v>
      </c>
      <c r="C17" s="10">
        <f t="shared" ref="C17:Q17" si="2">SUM(C11:C16)</f>
        <v>0</v>
      </c>
      <c r="D17" s="10">
        <f t="shared" si="2"/>
        <v>12944.009999999998</v>
      </c>
      <c r="E17" s="10">
        <f t="shared" si="2"/>
        <v>4826.5800000000008</v>
      </c>
      <c r="F17" s="10">
        <f t="shared" si="2"/>
        <v>2193.9</v>
      </c>
      <c r="G17" s="10">
        <f t="shared" si="2"/>
        <v>3642.99</v>
      </c>
      <c r="H17" s="10">
        <f t="shared" si="2"/>
        <v>2060</v>
      </c>
      <c r="I17" s="10">
        <f t="shared" si="2"/>
        <v>2193.9</v>
      </c>
      <c r="J17" s="10">
        <f t="shared" si="2"/>
        <v>1316.3399999999997</v>
      </c>
      <c r="K17" s="10">
        <f t="shared" si="2"/>
        <v>0</v>
      </c>
      <c r="L17" s="10">
        <f t="shared" si="2"/>
        <v>1309.3600000000001</v>
      </c>
      <c r="M17" s="10">
        <f t="shared" si="2"/>
        <v>1974.51</v>
      </c>
      <c r="N17" s="10">
        <f t="shared" si="2"/>
        <v>21450.74</v>
      </c>
      <c r="O17" s="10">
        <f t="shared" si="2"/>
        <v>7283.7479999999987</v>
      </c>
      <c r="P17" s="10">
        <f t="shared" si="2"/>
        <v>49400.7</v>
      </c>
      <c r="Q17" s="10">
        <f t="shared" si="2"/>
        <v>110596.77799999999</v>
      </c>
      <c r="R17" s="6"/>
    </row>
    <row r="18" spans="1:18" s="43" customFormat="1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1">
        <v>1.81</v>
      </c>
      <c r="P18" s="41">
        <v>25.63</v>
      </c>
      <c r="Q18" s="41"/>
      <c r="R18" s="3">
        <f>R16+B18-Q18</f>
        <v>-3677.9879999999957</v>
      </c>
    </row>
    <row r="19" spans="1:18">
      <c r="A19" s="3" t="s">
        <v>6</v>
      </c>
      <c r="B19" s="5">
        <v>12174.22</v>
      </c>
      <c r="C19" s="44">
        <f t="shared" ref="C19:C24" si="3">B19*2.5/100</f>
        <v>304.35550000000001</v>
      </c>
      <c r="D19" s="11">
        <f>D18*731.3</f>
        <v>1937.9449999999997</v>
      </c>
      <c r="E19" s="11">
        <f t="shared" ref="E19:O19" si="4">E18*731.3</f>
        <v>658.17</v>
      </c>
      <c r="F19" s="11">
        <f t="shared" si="4"/>
        <v>365.65</v>
      </c>
      <c r="G19" s="11"/>
      <c r="H19" s="11"/>
      <c r="I19" s="11">
        <f t="shared" si="4"/>
        <v>292.52</v>
      </c>
      <c r="J19" s="11">
        <f t="shared" si="4"/>
        <v>219.39</v>
      </c>
      <c r="K19" s="11">
        <f t="shared" ref="K19" si="5">K18*731.3</f>
        <v>80.442999999999998</v>
      </c>
      <c r="L19" s="11"/>
      <c r="M19" s="11">
        <f t="shared" si="4"/>
        <v>694.7349999999999</v>
      </c>
      <c r="N19" s="78">
        <v>299.55</v>
      </c>
      <c r="O19" s="11">
        <f t="shared" si="4"/>
        <v>1323.653</v>
      </c>
      <c r="P19" s="3">
        <v>12140.85</v>
      </c>
      <c r="Q19" s="11">
        <f>SUM(C19:P19)</f>
        <v>18317.261500000001</v>
      </c>
      <c r="R19" s="3">
        <f t="shared" ref="R19:R24" si="6">R18+B19-Q19</f>
        <v>-9821.0294999999969</v>
      </c>
    </row>
    <row r="20" spans="1:18">
      <c r="A20" s="3" t="s">
        <v>7</v>
      </c>
      <c r="B20" s="5">
        <v>18338.05</v>
      </c>
      <c r="C20" s="44">
        <f t="shared" si="3"/>
        <v>458.45125000000002</v>
      </c>
      <c r="D20" s="11">
        <v>1937.9449999999997</v>
      </c>
      <c r="E20" s="3">
        <v>658.17</v>
      </c>
      <c r="F20" s="3">
        <v>365.65</v>
      </c>
      <c r="G20" s="3"/>
      <c r="H20" s="3"/>
      <c r="I20" s="3">
        <v>292.52</v>
      </c>
      <c r="J20" s="3">
        <v>219.39</v>
      </c>
      <c r="K20" s="3">
        <v>80.44</v>
      </c>
      <c r="L20" s="3"/>
      <c r="M20" s="11">
        <v>694.7349999999999</v>
      </c>
      <c r="N20" s="74">
        <v>5864.81</v>
      </c>
      <c r="O20" s="11">
        <v>1323.653</v>
      </c>
      <c r="P20" s="3">
        <v>14234.1</v>
      </c>
      <c r="Q20" s="11">
        <f t="shared" ref="Q20:Q24" si="7">SUM(C20:P20)</f>
        <v>26129.864249999999</v>
      </c>
      <c r="R20" s="3">
        <f t="shared" si="6"/>
        <v>-17612.843749999996</v>
      </c>
    </row>
    <row r="21" spans="1:18">
      <c r="A21" s="3" t="s">
        <v>8</v>
      </c>
      <c r="B21" s="5">
        <v>22902.29</v>
      </c>
      <c r="C21" s="44">
        <f t="shared" si="3"/>
        <v>572.55725000000007</v>
      </c>
      <c r="D21" s="11">
        <v>1937.9449999999997</v>
      </c>
      <c r="E21" s="3">
        <v>658.17</v>
      </c>
      <c r="F21" s="3">
        <v>365.65</v>
      </c>
      <c r="G21" s="3"/>
      <c r="H21" s="3"/>
      <c r="I21" s="3">
        <v>292.52</v>
      </c>
      <c r="J21" s="3">
        <v>219.39</v>
      </c>
      <c r="K21" s="3">
        <v>80.44</v>
      </c>
      <c r="L21" s="3"/>
      <c r="M21" s="11">
        <v>694.7349999999999</v>
      </c>
      <c r="N21" s="3">
        <v>301.63</v>
      </c>
      <c r="O21" s="11">
        <v>1323.653</v>
      </c>
      <c r="P21" s="3">
        <v>10884.9</v>
      </c>
      <c r="Q21" s="11">
        <f t="shared" si="7"/>
        <v>17331.590250000001</v>
      </c>
      <c r="R21" s="3">
        <f t="shared" si="6"/>
        <v>-12042.143999999997</v>
      </c>
    </row>
    <row r="22" spans="1:18">
      <c r="A22" s="3" t="s">
        <v>9</v>
      </c>
      <c r="B22" s="5">
        <v>18047.95</v>
      </c>
      <c r="C22" s="44">
        <f t="shared" si="3"/>
        <v>451.19875000000002</v>
      </c>
      <c r="D22" s="11">
        <v>1937.9449999999997</v>
      </c>
      <c r="E22" s="3">
        <v>658.17</v>
      </c>
      <c r="F22" s="3">
        <v>365.65</v>
      </c>
      <c r="G22" s="3"/>
      <c r="H22" s="3"/>
      <c r="I22" s="3">
        <v>292.52</v>
      </c>
      <c r="J22" s="3">
        <v>219.39</v>
      </c>
      <c r="K22" s="3">
        <v>80.44</v>
      </c>
      <c r="L22" s="3"/>
      <c r="M22" s="11">
        <v>694.7349999999999</v>
      </c>
      <c r="N22" s="3">
        <v>1727.46</v>
      </c>
      <c r="O22" s="11">
        <f>D4*2.16</f>
        <v>1579.6079999999999</v>
      </c>
      <c r="P22" s="3">
        <v>11722.2</v>
      </c>
      <c r="Q22" s="11">
        <f t="shared" si="7"/>
        <v>19729.316750000002</v>
      </c>
      <c r="R22" s="3">
        <f t="shared" si="6"/>
        <v>-13723.510749999998</v>
      </c>
    </row>
    <row r="23" spans="1:18">
      <c r="A23" s="3" t="s">
        <v>10</v>
      </c>
      <c r="B23" s="5">
        <v>22814.85</v>
      </c>
      <c r="C23" s="44">
        <f t="shared" si="3"/>
        <v>570.37125000000003</v>
      </c>
      <c r="D23" s="11">
        <v>1937.9449999999997</v>
      </c>
      <c r="E23" s="3">
        <v>658.17</v>
      </c>
      <c r="F23" s="3">
        <v>365.65</v>
      </c>
      <c r="G23" s="3"/>
      <c r="H23" s="3"/>
      <c r="I23" s="3">
        <v>292.52</v>
      </c>
      <c r="J23" s="3">
        <v>219.39</v>
      </c>
      <c r="K23" s="3">
        <v>80.44</v>
      </c>
      <c r="L23" s="3"/>
      <c r="M23" s="11">
        <v>694.7349999999999</v>
      </c>
      <c r="N23" s="3">
        <v>892.25</v>
      </c>
      <c r="O23" s="11">
        <f>O22</f>
        <v>1579.6079999999999</v>
      </c>
      <c r="P23" s="3">
        <v>12140.85</v>
      </c>
      <c r="Q23" s="11">
        <f t="shared" si="7"/>
        <v>19431.929250000001</v>
      </c>
      <c r="R23" s="3">
        <f t="shared" si="6"/>
        <v>-10340.59</v>
      </c>
    </row>
    <row r="24" spans="1:18">
      <c r="A24" s="3" t="s">
        <v>11</v>
      </c>
      <c r="B24" s="5">
        <v>15377.26</v>
      </c>
      <c r="C24" s="44">
        <f t="shared" si="3"/>
        <v>384.43150000000003</v>
      </c>
      <c r="D24" s="11">
        <v>1937.9449999999997</v>
      </c>
      <c r="E24" s="3">
        <v>658.17</v>
      </c>
      <c r="F24" s="3">
        <v>365.65</v>
      </c>
      <c r="G24" s="3"/>
      <c r="H24" s="3">
        <v>900</v>
      </c>
      <c r="I24" s="3">
        <v>292.52</v>
      </c>
      <c r="J24" s="3">
        <v>219.39</v>
      </c>
      <c r="K24" s="3">
        <v>80.44</v>
      </c>
      <c r="L24" s="3"/>
      <c r="M24" s="11">
        <v>694.7349999999999</v>
      </c>
      <c r="N24" s="3">
        <v>1423.69</v>
      </c>
      <c r="O24" s="11">
        <f>O23</f>
        <v>1579.6079999999999</v>
      </c>
      <c r="P24" s="3">
        <v>10466.25</v>
      </c>
      <c r="Q24" s="11">
        <f t="shared" si="7"/>
        <v>19002.8295</v>
      </c>
      <c r="R24" s="3">
        <f t="shared" si="6"/>
        <v>-13966.1595</v>
      </c>
    </row>
    <row r="25" spans="1:18" s="45" customFormat="1">
      <c r="A25" s="6" t="s">
        <v>82</v>
      </c>
      <c r="B25" s="10">
        <f>SUM(B19:B24)</f>
        <v>109654.61999999998</v>
      </c>
      <c r="C25" s="10">
        <f t="shared" ref="C25:Q25" si="8">SUM(C19:C24)</f>
        <v>2741.3655000000003</v>
      </c>
      <c r="D25" s="10">
        <f t="shared" si="8"/>
        <v>11627.669999999998</v>
      </c>
      <c r="E25" s="10">
        <f t="shared" si="8"/>
        <v>3949.02</v>
      </c>
      <c r="F25" s="10">
        <f t="shared" si="8"/>
        <v>2193.9</v>
      </c>
      <c r="G25" s="10">
        <f t="shared" si="8"/>
        <v>0</v>
      </c>
      <c r="H25" s="10">
        <f t="shared" si="8"/>
        <v>900</v>
      </c>
      <c r="I25" s="10">
        <f t="shared" si="8"/>
        <v>1755.12</v>
      </c>
      <c r="J25" s="10">
        <f t="shared" si="8"/>
        <v>1316.3399999999997</v>
      </c>
      <c r="K25" s="10">
        <f t="shared" si="8"/>
        <v>482.64299999999997</v>
      </c>
      <c r="L25" s="10">
        <f t="shared" si="8"/>
        <v>0</v>
      </c>
      <c r="M25" s="10">
        <f t="shared" si="8"/>
        <v>4168.4099999999989</v>
      </c>
      <c r="N25" s="10">
        <f t="shared" si="8"/>
        <v>10509.390000000001</v>
      </c>
      <c r="O25" s="10">
        <f t="shared" si="8"/>
        <v>8709.7829999999994</v>
      </c>
      <c r="P25" s="10">
        <f t="shared" si="8"/>
        <v>71589.149999999994</v>
      </c>
      <c r="Q25" s="10">
        <f t="shared" si="8"/>
        <v>119942.79149999999</v>
      </c>
      <c r="R25" s="6"/>
    </row>
    <row r="26" spans="1:18" s="47" customFormat="1">
      <c r="A26" s="46" t="s">
        <v>55</v>
      </c>
      <c r="B26" s="46">
        <f>B17+B25</f>
        <v>206403.3</v>
      </c>
      <c r="C26" s="46">
        <f t="shared" ref="C26:Q26" si="9">C17+C25</f>
        <v>2741.3655000000003</v>
      </c>
      <c r="D26" s="46">
        <f t="shared" si="9"/>
        <v>24571.679999999997</v>
      </c>
      <c r="E26" s="46">
        <f t="shared" si="9"/>
        <v>8775.6</v>
      </c>
      <c r="F26" s="46">
        <f t="shared" si="9"/>
        <v>4387.8</v>
      </c>
      <c r="G26" s="46">
        <f t="shared" si="9"/>
        <v>3642.99</v>
      </c>
      <c r="H26" s="46">
        <f t="shared" si="9"/>
        <v>2960</v>
      </c>
      <c r="I26" s="46">
        <f t="shared" si="9"/>
        <v>3949.02</v>
      </c>
      <c r="J26" s="46">
        <f t="shared" si="9"/>
        <v>2632.6799999999994</v>
      </c>
      <c r="K26" s="46">
        <f t="shared" si="9"/>
        <v>482.64299999999997</v>
      </c>
      <c r="L26" s="46">
        <f t="shared" si="9"/>
        <v>1309.3600000000001</v>
      </c>
      <c r="M26" s="46">
        <f t="shared" si="9"/>
        <v>6142.9199999999992</v>
      </c>
      <c r="N26" s="46">
        <f t="shared" si="9"/>
        <v>31960.130000000005</v>
      </c>
      <c r="O26" s="46">
        <f t="shared" si="9"/>
        <v>15993.530999999999</v>
      </c>
      <c r="P26" s="46">
        <f t="shared" si="9"/>
        <v>120989.84999999999</v>
      </c>
      <c r="Q26" s="46">
        <f t="shared" si="9"/>
        <v>230539.56949999998</v>
      </c>
      <c r="R26" s="46">
        <f>D6+B26-Q26</f>
        <v>-13966.159500000009</v>
      </c>
    </row>
    <row r="28" spans="1:18">
      <c r="A28" s="117" t="s">
        <v>56</v>
      </c>
      <c r="B28" s="117"/>
      <c r="C28" s="117"/>
      <c r="D28" s="117"/>
      <c r="E28" s="57">
        <v>924.36</v>
      </c>
    </row>
    <row r="29" spans="1:18">
      <c r="A29" s="116" t="s">
        <v>67</v>
      </c>
      <c r="B29" s="116"/>
      <c r="C29" s="116"/>
      <c r="D29" s="116"/>
      <c r="E29" s="57">
        <v>160</v>
      </c>
    </row>
    <row r="30" spans="1:18">
      <c r="A30" s="116" t="s">
        <v>69</v>
      </c>
      <c r="B30" s="116"/>
      <c r="C30" s="116"/>
      <c r="D30" s="116"/>
      <c r="E30" s="57">
        <v>225</v>
      </c>
    </row>
    <row r="31" spans="1:18">
      <c r="A31" s="15" t="s">
        <v>73</v>
      </c>
      <c r="B31" s="3"/>
      <c r="C31" s="3"/>
      <c r="D31" s="3"/>
      <c r="E31" s="57">
        <v>16825.009999999998</v>
      </c>
    </row>
  </sheetData>
  <mergeCells count="20">
    <mergeCell ref="L7:N7"/>
    <mergeCell ref="A5:B5"/>
    <mergeCell ref="N3:O3"/>
    <mergeCell ref="L4:N4"/>
    <mergeCell ref="L5:N5"/>
    <mergeCell ref="A6:B6"/>
    <mergeCell ref="L6:N6"/>
    <mergeCell ref="A1:R1"/>
    <mergeCell ref="A3:B3"/>
    <mergeCell ref="D3:E3"/>
    <mergeCell ref="F3:G3"/>
    <mergeCell ref="A4:B4"/>
    <mergeCell ref="A28:D28"/>
    <mergeCell ref="A29:D29"/>
    <mergeCell ref="A30:D30"/>
    <mergeCell ref="Q8:Q9"/>
    <mergeCell ref="R8:R9"/>
    <mergeCell ref="A8:A9"/>
    <mergeCell ref="B8:B9"/>
    <mergeCell ref="D8:P8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T32"/>
  <sheetViews>
    <sheetView topLeftCell="A10" workbookViewId="0">
      <selection activeCell="C26" sqref="C26:P26"/>
    </sheetView>
  </sheetViews>
  <sheetFormatPr defaultRowHeight="15"/>
  <cols>
    <col min="1" max="1" width="9.85546875" customWidth="1"/>
    <col min="2" max="2" width="10.7109375" customWidth="1"/>
    <col min="3" max="3" width="9.28515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10" customWidth="1"/>
    <col min="16" max="16" width="8.85546875" customWidth="1"/>
    <col min="17" max="17" width="9.85546875" customWidth="1"/>
    <col min="18" max="18" width="7.855468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38</v>
      </c>
      <c r="N3" s="96"/>
      <c r="O3" s="96"/>
    </row>
    <row r="4" spans="1:20" ht="15.75" thickBot="1">
      <c r="A4" s="94" t="s">
        <v>14</v>
      </c>
      <c r="B4" s="95"/>
      <c r="C4" s="31"/>
      <c r="D4" s="1">
        <v>914.1</v>
      </c>
      <c r="E4" s="8" t="s">
        <v>27</v>
      </c>
      <c r="K4" s="97" t="s">
        <v>61</v>
      </c>
      <c r="L4" s="97"/>
      <c r="M4" s="97"/>
      <c r="N4" s="97"/>
      <c r="O4" s="3">
        <v>68756.38</v>
      </c>
    </row>
    <row r="5" spans="1:20" ht="15.75" thickBot="1">
      <c r="A5" s="94" t="s">
        <v>13</v>
      </c>
      <c r="B5" s="95"/>
      <c r="C5" s="31"/>
      <c r="D5" s="1">
        <v>2</v>
      </c>
      <c r="K5" s="97" t="s">
        <v>84</v>
      </c>
      <c r="L5" s="97"/>
      <c r="M5" s="97"/>
      <c r="N5" s="97"/>
      <c r="O5" s="3">
        <v>41888.949999999997</v>
      </c>
    </row>
    <row r="6" spans="1:20" ht="15.75" thickBot="1">
      <c r="A6" s="94" t="s">
        <v>15</v>
      </c>
      <c r="B6" s="95"/>
      <c r="C6" s="31"/>
      <c r="D6" s="1">
        <v>45019.38</v>
      </c>
      <c r="K6" s="97" t="s">
        <v>62</v>
      </c>
      <c r="L6" s="97"/>
      <c r="M6" s="97"/>
      <c r="N6" s="97"/>
      <c r="O6" s="57">
        <v>7279.55</v>
      </c>
    </row>
    <row r="7" spans="1:20">
      <c r="K7" s="102" t="s">
        <v>64</v>
      </c>
      <c r="L7" s="102"/>
      <c r="M7" s="97"/>
      <c r="N7" s="97"/>
      <c r="O7" s="3">
        <f>O4+O5-O6</f>
        <v>103365.78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5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24277.43</v>
      </c>
      <c r="C11" s="44"/>
      <c r="D11" s="11">
        <f>D10*914.1</f>
        <v>2696.5950000000003</v>
      </c>
      <c r="E11" s="11">
        <f t="shared" ref="E11:O11" si="0">E10*914.1</f>
        <v>1005.5100000000001</v>
      </c>
      <c r="F11" s="11">
        <f t="shared" si="0"/>
        <v>457.05</v>
      </c>
      <c r="G11" s="11"/>
      <c r="H11" s="11"/>
      <c r="I11" s="11">
        <f t="shared" si="0"/>
        <v>457.05</v>
      </c>
      <c r="J11" s="11">
        <f t="shared" si="0"/>
        <v>274.23</v>
      </c>
      <c r="K11" s="11"/>
      <c r="L11" s="56">
        <v>160</v>
      </c>
      <c r="M11" s="11">
        <f t="shared" si="0"/>
        <v>411.34500000000003</v>
      </c>
      <c r="N11" s="11">
        <v>1512.71</v>
      </c>
      <c r="O11" s="26">
        <f t="shared" si="0"/>
        <v>1517.4059999999999</v>
      </c>
      <c r="P11" s="11">
        <v>6637.75</v>
      </c>
      <c r="Q11" s="3">
        <f t="shared" ref="Q11:Q16" si="1">SUM(D11:P11)</f>
        <v>15129.646000000001</v>
      </c>
      <c r="R11" s="3">
        <f>D6+B11-Q11</f>
        <v>54167.163999999997</v>
      </c>
    </row>
    <row r="12" spans="1:20">
      <c r="A12" s="3" t="s">
        <v>1</v>
      </c>
      <c r="B12" s="5">
        <v>21199.52</v>
      </c>
      <c r="C12" s="44"/>
      <c r="D12" s="3">
        <v>2696.5950000000003</v>
      </c>
      <c r="E12" s="3">
        <v>1005.5100000000001</v>
      </c>
      <c r="F12" s="3">
        <v>457.05</v>
      </c>
      <c r="G12" s="3"/>
      <c r="H12" s="3"/>
      <c r="I12" s="3">
        <v>457.05</v>
      </c>
      <c r="J12" s="3">
        <v>274.23</v>
      </c>
      <c r="K12" s="3"/>
      <c r="L12" s="57"/>
      <c r="M12" s="3">
        <v>411.34500000000003</v>
      </c>
      <c r="N12" s="3">
        <v>2119.89</v>
      </c>
      <c r="O12" s="26">
        <v>1517.4059999999999</v>
      </c>
      <c r="P12" s="3">
        <v>7492.14</v>
      </c>
      <c r="Q12" s="3">
        <f t="shared" si="1"/>
        <v>16431.216</v>
      </c>
      <c r="R12" s="3">
        <f>R11+B12-Q12</f>
        <v>58935.467999999993</v>
      </c>
    </row>
    <row r="13" spans="1:20">
      <c r="A13" s="3" t="s">
        <v>2</v>
      </c>
      <c r="B13" s="5">
        <v>22609.39</v>
      </c>
      <c r="C13" s="44"/>
      <c r="D13" s="3">
        <v>2696.5950000000003</v>
      </c>
      <c r="E13" s="3">
        <v>1005.5100000000001</v>
      </c>
      <c r="F13" s="3">
        <v>457.05</v>
      </c>
      <c r="G13" s="3">
        <v>7286.98</v>
      </c>
      <c r="H13" s="3"/>
      <c r="I13" s="3">
        <v>457.05</v>
      </c>
      <c r="J13" s="3">
        <v>274.23</v>
      </c>
      <c r="K13" s="3"/>
      <c r="L13" s="57"/>
      <c r="M13" s="3">
        <v>411.34500000000003</v>
      </c>
      <c r="N13" s="3">
        <v>707.5</v>
      </c>
      <c r="O13" s="26">
        <v>1517.4059999999999</v>
      </c>
      <c r="P13" s="3">
        <v>9167.52</v>
      </c>
      <c r="Q13" s="3">
        <f t="shared" si="1"/>
        <v>23981.185999999998</v>
      </c>
      <c r="R13" s="3">
        <f>R12+B13-Q13</f>
        <v>57563.671999999991</v>
      </c>
    </row>
    <row r="14" spans="1:20">
      <c r="A14" s="3" t="s">
        <v>3</v>
      </c>
      <c r="B14" s="5">
        <v>19865.650000000001</v>
      </c>
      <c r="C14" s="44"/>
      <c r="D14" s="3">
        <v>2696.5950000000003</v>
      </c>
      <c r="E14" s="3">
        <v>1005.5100000000001</v>
      </c>
      <c r="F14" s="3">
        <v>457.05</v>
      </c>
      <c r="G14" s="3"/>
      <c r="H14" s="3">
        <v>2680</v>
      </c>
      <c r="I14" s="3">
        <v>457.05</v>
      </c>
      <c r="J14" s="3">
        <v>274.23</v>
      </c>
      <c r="K14" s="3"/>
      <c r="L14" s="57"/>
      <c r="M14" s="3">
        <v>411.34500000000003</v>
      </c>
      <c r="N14" s="3">
        <v>5001.84</v>
      </c>
      <c r="O14" s="26">
        <v>1517.4059999999999</v>
      </c>
      <c r="P14" s="3">
        <v>6935.21</v>
      </c>
      <c r="Q14" s="3">
        <f t="shared" si="1"/>
        <v>21436.236000000001</v>
      </c>
      <c r="R14" s="3">
        <f>R13+B14-Q14</f>
        <v>55993.085999999981</v>
      </c>
    </row>
    <row r="15" spans="1:20">
      <c r="A15" s="3" t="s">
        <v>4</v>
      </c>
      <c r="B15" s="5">
        <v>17658.150000000001</v>
      </c>
      <c r="C15" s="44"/>
      <c r="D15" s="3">
        <v>2696.5950000000003</v>
      </c>
      <c r="E15" s="3">
        <v>1005.5100000000001</v>
      </c>
      <c r="F15" s="3">
        <v>457.05</v>
      </c>
      <c r="G15" s="3"/>
      <c r="H15" s="3"/>
      <c r="I15" s="3">
        <v>457.05</v>
      </c>
      <c r="J15" s="3">
        <v>274.23</v>
      </c>
      <c r="K15" s="3"/>
      <c r="L15" s="57">
        <v>1155.42</v>
      </c>
      <c r="M15" s="3">
        <v>411.34500000000003</v>
      </c>
      <c r="N15" s="3">
        <v>1143</v>
      </c>
      <c r="O15" s="26">
        <v>1517.4059999999999</v>
      </c>
      <c r="P15" s="3">
        <v>6542.62</v>
      </c>
      <c r="Q15" s="3">
        <f t="shared" si="1"/>
        <v>15660.226000000002</v>
      </c>
      <c r="R15" s="3">
        <f>R14+B15-Q15</f>
        <v>57991.009999999973</v>
      </c>
    </row>
    <row r="16" spans="1:20">
      <c r="A16" s="3" t="s">
        <v>5</v>
      </c>
      <c r="B16" s="5">
        <v>16859.29</v>
      </c>
      <c r="C16" s="44"/>
      <c r="D16" s="3">
        <v>2696.5950000000003</v>
      </c>
      <c r="E16" s="3">
        <v>1005.5100000000001</v>
      </c>
      <c r="F16" s="3">
        <v>457.05</v>
      </c>
      <c r="G16" s="3">
        <v>137</v>
      </c>
      <c r="H16" s="3"/>
      <c r="I16" s="3">
        <v>457.05</v>
      </c>
      <c r="J16" s="3">
        <v>274.23</v>
      </c>
      <c r="K16" s="3"/>
      <c r="L16" s="3"/>
      <c r="M16" s="3">
        <v>411.34500000000003</v>
      </c>
      <c r="N16" s="3">
        <v>7264.78</v>
      </c>
      <c r="O16" s="26">
        <v>1517.4059999999999</v>
      </c>
      <c r="P16" s="3">
        <v>7196.88</v>
      </c>
      <c r="Q16" s="3">
        <f t="shared" si="1"/>
        <v>21417.846000000001</v>
      </c>
      <c r="R16" s="3">
        <f>R15+B16-Q16</f>
        <v>53432.453999999969</v>
      </c>
    </row>
    <row r="17" spans="1:18" s="45" customFormat="1">
      <c r="A17" s="6"/>
      <c r="B17" s="10">
        <f>SUM(B11:B16)</f>
        <v>122469.43</v>
      </c>
      <c r="C17" s="10">
        <f t="shared" ref="C17:Q17" si="2">SUM(C11:C16)</f>
        <v>0</v>
      </c>
      <c r="D17" s="10">
        <f t="shared" si="2"/>
        <v>16179.570000000003</v>
      </c>
      <c r="E17" s="10">
        <f t="shared" si="2"/>
        <v>6033.06</v>
      </c>
      <c r="F17" s="10">
        <f t="shared" si="2"/>
        <v>2742.3</v>
      </c>
      <c r="G17" s="10">
        <f t="shared" si="2"/>
        <v>7423.98</v>
      </c>
      <c r="H17" s="10">
        <f t="shared" si="2"/>
        <v>2680</v>
      </c>
      <c r="I17" s="10">
        <f t="shared" si="2"/>
        <v>2742.3</v>
      </c>
      <c r="J17" s="10">
        <f t="shared" si="2"/>
        <v>1645.38</v>
      </c>
      <c r="K17" s="10">
        <f t="shared" si="2"/>
        <v>0</v>
      </c>
      <c r="L17" s="10">
        <f t="shared" si="2"/>
        <v>1315.42</v>
      </c>
      <c r="M17" s="10">
        <f t="shared" si="2"/>
        <v>2468.0700000000006</v>
      </c>
      <c r="N17" s="10">
        <f t="shared" si="2"/>
        <v>17749.72</v>
      </c>
      <c r="O17" s="10">
        <f t="shared" si="2"/>
        <v>9104.4359999999997</v>
      </c>
      <c r="P17" s="10">
        <f t="shared" si="2"/>
        <v>43972.119999999995</v>
      </c>
      <c r="Q17" s="10">
        <f t="shared" si="2"/>
        <v>114056.35600000001</v>
      </c>
      <c r="R17" s="6"/>
    </row>
    <row r="18" spans="1:18" s="43" customFormat="1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2">
        <v>1.81</v>
      </c>
      <c r="P18" s="41">
        <v>25.63</v>
      </c>
      <c r="Q18" s="41"/>
      <c r="R18" s="3">
        <f>R16+B18-Q18</f>
        <v>53432.453999999969</v>
      </c>
    </row>
    <row r="19" spans="1:18">
      <c r="A19" s="3" t="s">
        <v>6</v>
      </c>
      <c r="B19" s="5">
        <v>17973.759999999998</v>
      </c>
      <c r="C19" s="44">
        <f t="shared" ref="C19:C24" si="3">B19*2.5/100</f>
        <v>449.34399999999994</v>
      </c>
      <c r="D19" s="3">
        <f>D18*914.1</f>
        <v>2422.3649999999998</v>
      </c>
      <c r="E19" s="3">
        <f t="shared" ref="E19:O19" si="4">E18*914.1</f>
        <v>822.69</v>
      </c>
      <c r="F19" s="3">
        <f t="shared" si="4"/>
        <v>457.05</v>
      </c>
      <c r="G19" s="3"/>
      <c r="H19" s="3"/>
      <c r="I19" s="3">
        <f t="shared" si="4"/>
        <v>365.64000000000004</v>
      </c>
      <c r="J19" s="3">
        <f t="shared" si="4"/>
        <v>274.23</v>
      </c>
      <c r="K19" s="11">
        <f t="shared" si="4"/>
        <v>100.551</v>
      </c>
      <c r="L19" s="11"/>
      <c r="M19" s="3">
        <f t="shared" si="4"/>
        <v>868.39499999999998</v>
      </c>
      <c r="N19" s="74">
        <v>500.48</v>
      </c>
      <c r="O19" s="11">
        <f t="shared" si="4"/>
        <v>1654.5210000000002</v>
      </c>
      <c r="P19" s="3">
        <v>10264.27</v>
      </c>
      <c r="Q19" s="11">
        <f>SUM(C19:P19)</f>
        <v>18179.536</v>
      </c>
      <c r="R19" s="3">
        <f t="shared" ref="R19:R24" si="5">R18+B19-Q19</f>
        <v>53226.677999999964</v>
      </c>
    </row>
    <row r="20" spans="1:18">
      <c r="A20" s="3" t="s">
        <v>7</v>
      </c>
      <c r="B20" s="5">
        <v>26039.81</v>
      </c>
      <c r="C20" s="44">
        <f t="shared" si="3"/>
        <v>650.99525000000006</v>
      </c>
      <c r="D20" s="3">
        <v>2422.3649999999998</v>
      </c>
      <c r="E20" s="3">
        <v>822.69</v>
      </c>
      <c r="F20" s="3">
        <v>457.05</v>
      </c>
      <c r="G20" s="3"/>
      <c r="H20" s="3"/>
      <c r="I20" s="3">
        <v>365.64000000000004</v>
      </c>
      <c r="J20" s="3">
        <v>274.23</v>
      </c>
      <c r="K20" s="3">
        <v>100.55</v>
      </c>
      <c r="L20" s="3"/>
      <c r="M20" s="3">
        <v>868.39499999999998</v>
      </c>
      <c r="N20" s="74">
        <v>15145.07</v>
      </c>
      <c r="O20" s="11">
        <v>1654.5210000000002</v>
      </c>
      <c r="P20" s="3">
        <v>11395.08</v>
      </c>
      <c r="Q20" s="11">
        <f t="shared" ref="Q20:Q24" si="6">SUM(C20:P20)</f>
        <v>34156.58625</v>
      </c>
      <c r="R20" s="3">
        <f t="shared" si="5"/>
        <v>45109.901749999968</v>
      </c>
    </row>
    <row r="21" spans="1:18">
      <c r="A21" s="3" t="s">
        <v>8</v>
      </c>
      <c r="B21" s="5">
        <v>18978.25</v>
      </c>
      <c r="C21" s="44">
        <f t="shared" si="3"/>
        <v>474.45625000000001</v>
      </c>
      <c r="D21" s="3">
        <v>2422.3649999999998</v>
      </c>
      <c r="E21" s="3">
        <v>822.69</v>
      </c>
      <c r="F21" s="3">
        <v>457.05</v>
      </c>
      <c r="G21" s="3"/>
      <c r="H21" s="3"/>
      <c r="I21" s="3">
        <v>365.64000000000004</v>
      </c>
      <c r="J21" s="3">
        <v>274.23</v>
      </c>
      <c r="K21" s="3">
        <v>100.55</v>
      </c>
      <c r="L21" s="3"/>
      <c r="M21" s="3">
        <v>868.39499999999998</v>
      </c>
      <c r="N21" s="3">
        <v>757.5</v>
      </c>
      <c r="O21" s="11">
        <v>1654.5210000000002</v>
      </c>
      <c r="P21" s="3">
        <v>9155.48</v>
      </c>
      <c r="Q21" s="11">
        <f t="shared" si="6"/>
        <v>17352.877249999998</v>
      </c>
      <c r="R21" s="3">
        <f t="shared" si="5"/>
        <v>46735.27449999997</v>
      </c>
    </row>
    <row r="22" spans="1:18">
      <c r="A22" s="3" t="s">
        <v>9</v>
      </c>
      <c r="B22" s="5">
        <v>24059.439999999999</v>
      </c>
      <c r="C22" s="44">
        <f t="shared" si="3"/>
        <v>601.48599999999999</v>
      </c>
      <c r="D22" s="3">
        <v>2422.3649999999998</v>
      </c>
      <c r="E22" s="3">
        <v>822.69</v>
      </c>
      <c r="F22" s="3">
        <v>457.05</v>
      </c>
      <c r="G22" s="3"/>
      <c r="H22" s="3"/>
      <c r="I22" s="3">
        <v>365.64000000000004</v>
      </c>
      <c r="J22" s="3">
        <v>274.23</v>
      </c>
      <c r="K22" s="3">
        <v>100.55</v>
      </c>
      <c r="L22" s="3"/>
      <c r="M22" s="3">
        <v>868.39499999999998</v>
      </c>
      <c r="N22" s="3">
        <v>6440.67</v>
      </c>
      <c r="O22" s="11">
        <f>D4*2.06</f>
        <v>1883.046</v>
      </c>
      <c r="P22" s="3">
        <v>10376.219999999999</v>
      </c>
      <c r="Q22" s="11">
        <f t="shared" si="6"/>
        <v>24612.341999999997</v>
      </c>
      <c r="R22" s="3">
        <f t="shared" si="5"/>
        <v>46182.372499999976</v>
      </c>
    </row>
    <row r="23" spans="1:18">
      <c r="A23" s="3" t="s">
        <v>10</v>
      </c>
      <c r="B23" s="5">
        <v>29834.79</v>
      </c>
      <c r="C23" s="44">
        <f t="shared" si="3"/>
        <v>745.86975000000007</v>
      </c>
      <c r="D23" s="3">
        <v>2422.3649999999998</v>
      </c>
      <c r="E23" s="3">
        <v>822.69</v>
      </c>
      <c r="F23" s="3">
        <v>457.05</v>
      </c>
      <c r="G23" s="3"/>
      <c r="H23" s="3"/>
      <c r="I23" s="3">
        <v>365.64000000000004</v>
      </c>
      <c r="J23" s="3">
        <v>274.23</v>
      </c>
      <c r="K23" s="3">
        <v>100.55</v>
      </c>
      <c r="L23" s="3"/>
      <c r="M23" s="3">
        <v>868.39499999999998</v>
      </c>
      <c r="N23" s="3">
        <v>937.2</v>
      </c>
      <c r="O23" s="11">
        <f>O22</f>
        <v>1883.046</v>
      </c>
      <c r="P23" s="3">
        <v>9435.2800000000007</v>
      </c>
      <c r="Q23" s="11">
        <f t="shared" si="6"/>
        <v>18312.315750000002</v>
      </c>
      <c r="R23" s="3">
        <f t="shared" si="5"/>
        <v>57704.846749999975</v>
      </c>
    </row>
    <row r="24" spans="1:18">
      <c r="A24" s="3" t="s">
        <v>11</v>
      </c>
      <c r="B24" s="5">
        <v>20735.560000000001</v>
      </c>
      <c r="C24" s="44">
        <f t="shared" si="3"/>
        <v>518.38900000000001</v>
      </c>
      <c r="D24" s="3">
        <v>2422.3649999999998</v>
      </c>
      <c r="E24" s="3">
        <v>822.69</v>
      </c>
      <c r="F24" s="3">
        <v>457.05</v>
      </c>
      <c r="G24" s="3"/>
      <c r="H24" s="3">
        <v>2000</v>
      </c>
      <c r="I24" s="3">
        <v>365.64000000000004</v>
      </c>
      <c r="J24" s="3">
        <v>274.23</v>
      </c>
      <c r="K24" s="3">
        <v>100.55</v>
      </c>
      <c r="L24" s="3"/>
      <c r="M24" s="3">
        <v>868.39499999999998</v>
      </c>
      <c r="N24" s="3">
        <v>263.42</v>
      </c>
      <c r="O24" s="11">
        <f>O23</f>
        <v>1883.046</v>
      </c>
      <c r="P24" s="3">
        <v>10758.2</v>
      </c>
      <c r="Q24" s="11">
        <f t="shared" si="6"/>
        <v>20733.974999999999</v>
      </c>
      <c r="R24" s="3">
        <f t="shared" si="5"/>
        <v>57706.431749999982</v>
      </c>
    </row>
    <row r="25" spans="1:18" s="45" customFormat="1">
      <c r="A25" s="6"/>
      <c r="B25" s="10">
        <f>SUM(B19:B24)</f>
        <v>137621.60999999999</v>
      </c>
      <c r="C25" s="10">
        <f t="shared" ref="C25:Q25" si="7">SUM(C19:C24)</f>
        <v>3440.54025</v>
      </c>
      <c r="D25" s="10">
        <f t="shared" si="7"/>
        <v>14534.189999999999</v>
      </c>
      <c r="E25" s="10">
        <f t="shared" si="7"/>
        <v>4936.1400000000012</v>
      </c>
      <c r="F25" s="10">
        <f t="shared" si="7"/>
        <v>2742.3</v>
      </c>
      <c r="G25" s="10">
        <f t="shared" si="7"/>
        <v>0</v>
      </c>
      <c r="H25" s="10">
        <f t="shared" si="7"/>
        <v>2000</v>
      </c>
      <c r="I25" s="10">
        <f t="shared" si="7"/>
        <v>2193.84</v>
      </c>
      <c r="J25" s="10">
        <f t="shared" si="7"/>
        <v>1645.38</v>
      </c>
      <c r="K25" s="10">
        <f t="shared" si="7"/>
        <v>603.30100000000004</v>
      </c>
      <c r="L25" s="10">
        <f t="shared" si="7"/>
        <v>0</v>
      </c>
      <c r="M25" s="10">
        <f t="shared" si="7"/>
        <v>5210.3700000000008</v>
      </c>
      <c r="N25" s="10">
        <f t="shared" si="7"/>
        <v>24044.34</v>
      </c>
      <c r="O25" s="49">
        <f t="shared" si="7"/>
        <v>10612.701000000001</v>
      </c>
      <c r="P25" s="10">
        <f t="shared" si="7"/>
        <v>61384.53</v>
      </c>
      <c r="Q25" s="10">
        <f t="shared" si="7"/>
        <v>133347.63225000002</v>
      </c>
      <c r="R25" s="6"/>
    </row>
    <row r="26" spans="1:18" s="47" customFormat="1">
      <c r="A26" s="46" t="s">
        <v>55</v>
      </c>
      <c r="B26" s="46">
        <f>B17+B25</f>
        <v>260091.03999999998</v>
      </c>
      <c r="C26" s="46">
        <f t="shared" ref="C26:Q26" si="8">C17+C25</f>
        <v>3440.54025</v>
      </c>
      <c r="D26" s="46">
        <f t="shared" si="8"/>
        <v>30713.760000000002</v>
      </c>
      <c r="E26" s="46">
        <f t="shared" si="8"/>
        <v>10969.2</v>
      </c>
      <c r="F26" s="46">
        <f t="shared" si="8"/>
        <v>5484.6</v>
      </c>
      <c r="G26" s="46">
        <f t="shared" si="8"/>
        <v>7423.98</v>
      </c>
      <c r="H26" s="46">
        <f t="shared" si="8"/>
        <v>4680</v>
      </c>
      <c r="I26" s="46">
        <f t="shared" si="8"/>
        <v>4936.1400000000003</v>
      </c>
      <c r="J26" s="46">
        <f t="shared" si="8"/>
        <v>3290.76</v>
      </c>
      <c r="K26" s="46">
        <f t="shared" si="8"/>
        <v>603.30100000000004</v>
      </c>
      <c r="L26" s="46">
        <f t="shared" si="8"/>
        <v>1315.42</v>
      </c>
      <c r="M26" s="46">
        <f t="shared" si="8"/>
        <v>7678.4400000000014</v>
      </c>
      <c r="N26" s="46">
        <f t="shared" si="8"/>
        <v>41794.06</v>
      </c>
      <c r="O26" s="50">
        <f t="shared" si="8"/>
        <v>19717.137000000002</v>
      </c>
      <c r="P26" s="46">
        <f t="shared" si="8"/>
        <v>105356.65</v>
      </c>
      <c r="Q26" s="46">
        <f t="shared" si="8"/>
        <v>247403.98825000005</v>
      </c>
      <c r="R26" s="46">
        <f>D6+B26-Q26</f>
        <v>57706.431749999931</v>
      </c>
    </row>
    <row r="29" spans="1:18">
      <c r="A29" s="113" t="s">
        <v>52</v>
      </c>
      <c r="B29" s="114"/>
      <c r="C29" s="114"/>
      <c r="D29" s="114"/>
      <c r="E29" s="115"/>
      <c r="F29" s="77">
        <v>1548.75</v>
      </c>
      <c r="G29" s="118"/>
      <c r="H29" s="118"/>
    </row>
    <row r="30" spans="1:18">
      <c r="A30" s="113" t="s">
        <v>52</v>
      </c>
      <c r="B30" s="114"/>
      <c r="C30" s="114"/>
      <c r="D30" s="114"/>
      <c r="E30" s="115"/>
      <c r="F30" s="77">
        <v>5730.8</v>
      </c>
      <c r="G30" s="81"/>
      <c r="H30" s="81"/>
    </row>
    <row r="31" spans="1:18">
      <c r="A31" s="102" t="s">
        <v>58</v>
      </c>
      <c r="B31" s="102"/>
      <c r="C31" s="102"/>
      <c r="D31" s="102"/>
      <c r="E31" s="102"/>
      <c r="F31" s="57">
        <v>1155.42</v>
      </c>
    </row>
    <row r="32" spans="1:18">
      <c r="A32" s="102" t="s">
        <v>67</v>
      </c>
      <c r="B32" s="102"/>
      <c r="C32" s="102"/>
      <c r="D32" s="102"/>
      <c r="E32" s="102"/>
      <c r="F32" s="57">
        <v>160</v>
      </c>
    </row>
  </sheetData>
  <mergeCells count="22">
    <mergeCell ref="A5:B5"/>
    <mergeCell ref="A6:B6"/>
    <mergeCell ref="A8:A9"/>
    <mergeCell ref="B8:B9"/>
    <mergeCell ref="D8:P8"/>
    <mergeCell ref="K5:N5"/>
    <mergeCell ref="K6:N6"/>
    <mergeCell ref="K7:N7"/>
    <mergeCell ref="A1:R1"/>
    <mergeCell ref="A3:B3"/>
    <mergeCell ref="D3:E3"/>
    <mergeCell ref="F3:G3"/>
    <mergeCell ref="A4:B4"/>
    <mergeCell ref="N3:O3"/>
    <mergeCell ref="K4:N4"/>
    <mergeCell ref="A31:E31"/>
    <mergeCell ref="A32:E32"/>
    <mergeCell ref="G29:H29"/>
    <mergeCell ref="Q8:Q9"/>
    <mergeCell ref="R8:R9"/>
    <mergeCell ref="A29:E29"/>
    <mergeCell ref="A30:E30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T32"/>
  <sheetViews>
    <sheetView topLeftCell="A10" workbookViewId="0">
      <selection activeCell="C26" sqref="C26:P26"/>
    </sheetView>
  </sheetViews>
  <sheetFormatPr defaultRowHeight="15"/>
  <cols>
    <col min="1" max="1" width="12.7109375" customWidth="1"/>
    <col min="2" max="2" width="10.7109375" customWidth="1"/>
    <col min="3" max="3" width="9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11" customWidth="1"/>
    <col min="16" max="16" width="9" customWidth="1"/>
    <col min="17" max="17" width="11.28515625" customWidth="1"/>
    <col min="18" max="18" width="8.855468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39</v>
      </c>
      <c r="N3" s="96"/>
      <c r="O3" s="96"/>
    </row>
    <row r="4" spans="1:20" ht="15.75" thickBot="1">
      <c r="A4" s="94" t="s">
        <v>14</v>
      </c>
      <c r="B4" s="95"/>
      <c r="C4" s="31"/>
      <c r="D4" s="1">
        <v>753.5</v>
      </c>
      <c r="E4" s="8" t="s">
        <v>27</v>
      </c>
      <c r="K4" s="97" t="s">
        <v>61</v>
      </c>
      <c r="L4" s="97"/>
      <c r="M4" s="97"/>
      <c r="N4" s="97"/>
      <c r="O4" s="3">
        <v>61002.39</v>
      </c>
    </row>
    <row r="5" spans="1:20" ht="15.75" thickBot="1">
      <c r="A5" s="94" t="s">
        <v>13</v>
      </c>
      <c r="B5" s="95"/>
      <c r="C5" s="31"/>
      <c r="D5" s="1">
        <v>2</v>
      </c>
      <c r="K5" s="97" t="s">
        <v>84</v>
      </c>
      <c r="L5" s="97"/>
      <c r="M5" s="97"/>
      <c r="N5" s="97"/>
      <c r="O5" s="3">
        <v>29680.33</v>
      </c>
    </row>
    <row r="6" spans="1:20" ht="15.75" thickBot="1">
      <c r="A6" s="94" t="s">
        <v>15</v>
      </c>
      <c r="B6" s="95"/>
      <c r="C6" s="31"/>
      <c r="D6" s="1">
        <v>3224.74</v>
      </c>
      <c r="K6" s="97" t="s">
        <v>62</v>
      </c>
      <c r="L6" s="97"/>
      <c r="M6" s="97"/>
      <c r="N6" s="97"/>
      <c r="O6" s="57">
        <v>22000</v>
      </c>
    </row>
    <row r="7" spans="1:20">
      <c r="K7" s="102" t="s">
        <v>64</v>
      </c>
      <c r="L7" s="102"/>
      <c r="M7" s="97"/>
      <c r="N7" s="97"/>
      <c r="O7" s="3">
        <f>O4+O5-O6</f>
        <v>68682.720000000001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>
      <c r="A10" s="9">
        <f>SUM(D10:P10)</f>
        <v>40.04</v>
      </c>
      <c r="B10" s="10"/>
      <c r="C10" s="20"/>
      <c r="D10" s="6">
        <v>2.95</v>
      </c>
      <c r="E10" s="6">
        <v>1.1000000000000001</v>
      </c>
      <c r="F10" s="6">
        <v>0.5</v>
      </c>
      <c r="G10" s="6">
        <v>0.85</v>
      </c>
      <c r="H10" s="6">
        <v>0.3</v>
      </c>
      <c r="I10" s="6">
        <v>0.5</v>
      </c>
      <c r="J10" s="6">
        <v>0.3</v>
      </c>
      <c r="K10" s="6"/>
      <c r="L10" s="6">
        <v>0.1</v>
      </c>
      <c r="M10" s="6">
        <v>0.45</v>
      </c>
      <c r="N10" s="65">
        <v>5.7</v>
      </c>
      <c r="O10" s="4">
        <v>1.66</v>
      </c>
      <c r="P10" s="4">
        <v>25.63</v>
      </c>
      <c r="Q10" s="3"/>
      <c r="R10" s="3"/>
    </row>
    <row r="11" spans="1:20">
      <c r="A11" s="3" t="s">
        <v>0</v>
      </c>
      <c r="B11" s="5">
        <v>25981.05</v>
      </c>
      <c r="C11" s="44"/>
      <c r="D11" s="11">
        <f>D10*753.5</f>
        <v>2222.8250000000003</v>
      </c>
      <c r="E11" s="11">
        <f t="shared" ref="E11:O11" si="0">E10*753.5</f>
        <v>828.85</v>
      </c>
      <c r="F11" s="11">
        <f t="shared" si="0"/>
        <v>376.75</v>
      </c>
      <c r="G11" s="11"/>
      <c r="H11" s="11"/>
      <c r="I11" s="11">
        <f t="shared" si="0"/>
        <v>376.75</v>
      </c>
      <c r="J11" s="11">
        <f t="shared" si="0"/>
        <v>226.04999999999998</v>
      </c>
      <c r="K11" s="44"/>
      <c r="L11" s="56">
        <v>160</v>
      </c>
      <c r="M11" s="11">
        <f t="shared" si="0"/>
        <v>339.07499999999999</v>
      </c>
      <c r="N11" s="11">
        <v>10338.15</v>
      </c>
      <c r="O11" s="11">
        <f t="shared" si="0"/>
        <v>1250.81</v>
      </c>
      <c r="P11" s="11">
        <v>9689.59</v>
      </c>
      <c r="Q11" s="3">
        <f t="shared" ref="Q11:Q16" si="1">SUM(D11:P11)</f>
        <v>25808.85</v>
      </c>
      <c r="R11" s="3">
        <f>D6+B11-Q11</f>
        <v>3396.9400000000023</v>
      </c>
    </row>
    <row r="12" spans="1:20">
      <c r="A12" s="3" t="s">
        <v>1</v>
      </c>
      <c r="B12" s="5">
        <v>22919.23</v>
      </c>
      <c r="C12" s="44"/>
      <c r="D12" s="3">
        <v>2222.8250000000003</v>
      </c>
      <c r="E12" s="3">
        <v>828.85</v>
      </c>
      <c r="F12" s="3">
        <v>376.75</v>
      </c>
      <c r="G12" s="3"/>
      <c r="H12" s="3"/>
      <c r="I12" s="3">
        <v>376.75</v>
      </c>
      <c r="J12" s="3">
        <v>226.04999999999998</v>
      </c>
      <c r="K12" s="15"/>
      <c r="L12" s="57">
        <v>225</v>
      </c>
      <c r="M12" s="3">
        <v>339.07499999999999</v>
      </c>
      <c r="N12" s="3">
        <v>694.65</v>
      </c>
      <c r="O12" s="3">
        <v>1250.81</v>
      </c>
      <c r="P12" s="3">
        <v>10509.81</v>
      </c>
      <c r="Q12" s="3">
        <f t="shared" si="1"/>
        <v>17050.57</v>
      </c>
      <c r="R12" s="3">
        <f>R11+B12-Q12</f>
        <v>9265.6000000000022</v>
      </c>
    </row>
    <row r="13" spans="1:20">
      <c r="A13" s="3" t="s">
        <v>2</v>
      </c>
      <c r="B13" s="5">
        <v>16665.580000000002</v>
      </c>
      <c r="C13" s="44"/>
      <c r="D13" s="3">
        <v>2222.8250000000003</v>
      </c>
      <c r="E13" s="3">
        <v>828.85</v>
      </c>
      <c r="F13" s="3">
        <v>376.75</v>
      </c>
      <c r="G13" s="3">
        <v>5651.98</v>
      </c>
      <c r="H13" s="3"/>
      <c r="I13" s="3">
        <v>376.75</v>
      </c>
      <c r="J13" s="3">
        <v>226.04999999999998</v>
      </c>
      <c r="K13" s="15"/>
      <c r="L13" s="57">
        <v>625</v>
      </c>
      <c r="M13" s="3">
        <v>339.07499999999999</v>
      </c>
      <c r="N13" s="3">
        <v>2718.69</v>
      </c>
      <c r="O13" s="3">
        <v>1250.81</v>
      </c>
      <c r="P13" s="3">
        <v>11764.98</v>
      </c>
      <c r="Q13" s="3">
        <f t="shared" si="1"/>
        <v>26381.759999999998</v>
      </c>
      <c r="R13" s="3">
        <f>R12+B13-Q13</f>
        <v>-450.57999999999447</v>
      </c>
    </row>
    <row r="14" spans="1:20">
      <c r="A14" s="3" t="s">
        <v>3</v>
      </c>
      <c r="B14" s="5">
        <v>16435.580000000002</v>
      </c>
      <c r="C14" s="44"/>
      <c r="D14" s="3">
        <v>2222.8250000000003</v>
      </c>
      <c r="E14" s="3">
        <v>828.85</v>
      </c>
      <c r="F14" s="3">
        <v>376.75</v>
      </c>
      <c r="G14" s="3"/>
      <c r="H14" s="3">
        <v>2400</v>
      </c>
      <c r="I14" s="3">
        <v>376.75</v>
      </c>
      <c r="J14" s="3">
        <v>226.04999999999998</v>
      </c>
      <c r="K14" s="3"/>
      <c r="L14" s="3"/>
      <c r="M14" s="3">
        <v>339.07499999999999</v>
      </c>
      <c r="N14" s="3">
        <v>3427.69</v>
      </c>
      <c r="O14" s="3">
        <v>1250.81</v>
      </c>
      <c r="P14" s="3">
        <v>10229.44</v>
      </c>
      <c r="Q14" s="3">
        <f t="shared" si="1"/>
        <v>21678.239999999998</v>
      </c>
      <c r="R14" s="3">
        <f>R13+B14-Q14</f>
        <v>-5693.2399999999907</v>
      </c>
    </row>
    <row r="15" spans="1:20">
      <c r="A15" s="3" t="s">
        <v>4</v>
      </c>
      <c r="B15" s="5">
        <v>18032.759999999998</v>
      </c>
      <c r="C15" s="44"/>
      <c r="D15" s="3">
        <v>2222.8250000000003</v>
      </c>
      <c r="E15" s="3">
        <v>828.85</v>
      </c>
      <c r="F15" s="3">
        <v>376.75</v>
      </c>
      <c r="G15" s="3"/>
      <c r="H15" s="3"/>
      <c r="I15" s="3">
        <v>376.75</v>
      </c>
      <c r="J15" s="3">
        <v>226.04999999999998</v>
      </c>
      <c r="K15" s="3"/>
      <c r="L15" s="3"/>
      <c r="M15" s="3">
        <v>339.07499999999999</v>
      </c>
      <c r="N15" s="3">
        <v>1936.6</v>
      </c>
      <c r="O15" s="3">
        <v>1250.81</v>
      </c>
      <c r="P15" s="3">
        <v>10203.379999999999</v>
      </c>
      <c r="Q15" s="3">
        <f t="shared" si="1"/>
        <v>17761.089999999997</v>
      </c>
      <c r="R15" s="3">
        <f>R14+B15-Q15</f>
        <v>-5421.5699999999888</v>
      </c>
    </row>
    <row r="16" spans="1:20">
      <c r="A16" s="3" t="s">
        <v>5</v>
      </c>
      <c r="B16" s="5">
        <v>15652.52</v>
      </c>
      <c r="C16" s="44"/>
      <c r="D16" s="3">
        <v>2222.8250000000003</v>
      </c>
      <c r="E16" s="3">
        <v>828.85</v>
      </c>
      <c r="F16" s="3">
        <v>376.75</v>
      </c>
      <c r="G16" s="3"/>
      <c r="H16" s="3"/>
      <c r="I16" s="3">
        <v>376.75</v>
      </c>
      <c r="J16" s="3">
        <v>226.04999999999998</v>
      </c>
      <c r="K16" s="3"/>
      <c r="L16" s="3"/>
      <c r="M16" s="3">
        <v>339.07499999999999</v>
      </c>
      <c r="N16" s="3">
        <v>686.49</v>
      </c>
      <c r="O16" s="3">
        <v>1250.81</v>
      </c>
      <c r="P16" s="3">
        <v>11223.71</v>
      </c>
      <c r="Q16" s="3">
        <f t="shared" si="1"/>
        <v>17531.309999999998</v>
      </c>
      <c r="R16" s="3">
        <f>R15+B16-Q16</f>
        <v>-7300.359999999986</v>
      </c>
    </row>
    <row r="17" spans="1:18" s="45" customFormat="1">
      <c r="A17" s="6" t="s">
        <v>81</v>
      </c>
      <c r="B17" s="10">
        <f>SUM(B11:B16)</f>
        <v>115686.72</v>
      </c>
      <c r="C17" s="10">
        <f t="shared" ref="C17:Q17" si="2">SUM(C11:C16)</f>
        <v>0</v>
      </c>
      <c r="D17" s="10">
        <f t="shared" si="2"/>
        <v>13336.950000000003</v>
      </c>
      <c r="E17" s="10">
        <f t="shared" si="2"/>
        <v>4973.1000000000004</v>
      </c>
      <c r="F17" s="10">
        <f t="shared" si="2"/>
        <v>2260.5</v>
      </c>
      <c r="G17" s="10">
        <f t="shared" si="2"/>
        <v>5651.98</v>
      </c>
      <c r="H17" s="10">
        <f t="shared" si="2"/>
        <v>2400</v>
      </c>
      <c r="I17" s="10">
        <f t="shared" si="2"/>
        <v>2260.5</v>
      </c>
      <c r="J17" s="10">
        <f t="shared" si="2"/>
        <v>1356.3</v>
      </c>
      <c r="K17" s="10">
        <f t="shared" si="2"/>
        <v>0</v>
      </c>
      <c r="L17" s="10">
        <f t="shared" si="2"/>
        <v>1010</v>
      </c>
      <c r="M17" s="10">
        <f t="shared" si="2"/>
        <v>2034.45</v>
      </c>
      <c r="N17" s="10">
        <f t="shared" si="2"/>
        <v>19802.27</v>
      </c>
      <c r="O17" s="10">
        <f t="shared" si="2"/>
        <v>7504.8599999999988</v>
      </c>
      <c r="P17" s="10">
        <f t="shared" si="2"/>
        <v>63620.909999999996</v>
      </c>
      <c r="Q17" s="10">
        <f t="shared" si="2"/>
        <v>126211.81999999998</v>
      </c>
      <c r="R17" s="6"/>
    </row>
    <row r="18" spans="1:18" s="43" customFormat="1">
      <c r="A18" s="41">
        <v>41.35</v>
      </c>
      <c r="B18" s="41"/>
      <c r="C18" s="41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94</v>
      </c>
      <c r="O18" s="41">
        <v>1.81</v>
      </c>
      <c r="P18" s="41">
        <v>25.63</v>
      </c>
      <c r="Q18" s="41"/>
      <c r="R18" s="3">
        <f>R16+B18-Q18</f>
        <v>-7300.359999999986</v>
      </c>
    </row>
    <row r="19" spans="1:18">
      <c r="A19" s="3" t="s">
        <v>6</v>
      </c>
      <c r="B19" s="5">
        <v>14063.12</v>
      </c>
      <c r="C19" s="44">
        <f t="shared" ref="C19:C24" si="3">B19*2.5/100</f>
        <v>351.57800000000003</v>
      </c>
      <c r="D19" s="3">
        <f>D18*753.5</f>
        <v>1996.7749999999999</v>
      </c>
      <c r="E19" s="3">
        <f t="shared" ref="E19:O19" si="4">E18*753.5</f>
        <v>678.15</v>
      </c>
      <c r="F19" s="3">
        <f t="shared" si="4"/>
        <v>376.75</v>
      </c>
      <c r="G19" s="3"/>
      <c r="H19" s="3"/>
      <c r="I19" s="3">
        <f t="shared" si="4"/>
        <v>301.40000000000003</v>
      </c>
      <c r="J19" s="3">
        <f t="shared" si="4"/>
        <v>226.04999999999998</v>
      </c>
      <c r="K19" s="11">
        <f t="shared" si="4"/>
        <v>82.885000000000005</v>
      </c>
      <c r="L19" s="11"/>
      <c r="M19" s="11">
        <f t="shared" si="4"/>
        <v>715.82499999999993</v>
      </c>
      <c r="N19" s="74">
        <v>331.82</v>
      </c>
      <c r="O19" s="11">
        <f t="shared" si="4"/>
        <v>1363.835</v>
      </c>
      <c r="P19" s="11">
        <f>SUM(C19:O19)</f>
        <v>6425.0680000000002</v>
      </c>
      <c r="Q19" s="11">
        <f>SUM(C19:P19)</f>
        <v>12850.136</v>
      </c>
      <c r="R19" s="3">
        <f t="shared" ref="R19:R24" si="5">R18+B19-Q19</f>
        <v>-6087.3759999999857</v>
      </c>
    </row>
    <row r="20" spans="1:18">
      <c r="A20" s="3" t="s">
        <v>7</v>
      </c>
      <c r="B20" s="5">
        <v>23795.25</v>
      </c>
      <c r="C20" s="44">
        <f t="shared" si="3"/>
        <v>594.88125000000002</v>
      </c>
      <c r="D20" s="3">
        <v>1996.7749999999999</v>
      </c>
      <c r="E20" s="3">
        <v>678.15</v>
      </c>
      <c r="F20" s="3">
        <v>376.75</v>
      </c>
      <c r="G20" s="3"/>
      <c r="H20" s="3"/>
      <c r="I20" s="3">
        <v>301.40000000000003</v>
      </c>
      <c r="J20" s="3">
        <v>226.04999999999998</v>
      </c>
      <c r="K20" s="3">
        <v>82.89</v>
      </c>
      <c r="L20" s="3"/>
      <c r="M20" s="11">
        <v>715.82499999999993</v>
      </c>
      <c r="N20" s="74">
        <v>4583.24</v>
      </c>
      <c r="O20" s="11">
        <v>1363.835</v>
      </c>
      <c r="P20" s="11">
        <f t="shared" ref="P20:P24" si="6">SUM(C20:O20)</f>
        <v>10919.796249999999</v>
      </c>
      <c r="Q20" s="11">
        <f t="shared" ref="Q20:Q24" si="7">SUM(C20:P20)</f>
        <v>21839.592499999999</v>
      </c>
      <c r="R20" s="3">
        <f t="shared" si="5"/>
        <v>-4131.7184999999845</v>
      </c>
    </row>
    <row r="21" spans="1:18">
      <c r="A21" s="3" t="s">
        <v>8</v>
      </c>
      <c r="B21" s="5">
        <v>21488.89</v>
      </c>
      <c r="C21" s="44">
        <f t="shared" si="3"/>
        <v>537.22225000000003</v>
      </c>
      <c r="D21" s="3">
        <v>1996.7749999999999</v>
      </c>
      <c r="E21" s="3">
        <v>678.15</v>
      </c>
      <c r="F21" s="3">
        <v>376.75</v>
      </c>
      <c r="G21" s="3"/>
      <c r="H21" s="3"/>
      <c r="I21" s="3">
        <v>301.40000000000003</v>
      </c>
      <c r="J21" s="3">
        <v>226.04999999999998</v>
      </c>
      <c r="K21" s="3">
        <v>82.89</v>
      </c>
      <c r="L21" s="3"/>
      <c r="M21" s="11">
        <v>715.82499999999993</v>
      </c>
      <c r="N21" s="3">
        <v>9704.9599999999991</v>
      </c>
      <c r="O21" s="11">
        <v>1363.835</v>
      </c>
      <c r="P21" s="11">
        <f t="shared" si="6"/>
        <v>15983.857249999997</v>
      </c>
      <c r="Q21" s="11">
        <f t="shared" si="7"/>
        <v>31967.714499999995</v>
      </c>
      <c r="R21" s="3">
        <f t="shared" si="5"/>
        <v>-14610.54299999998</v>
      </c>
    </row>
    <row r="22" spans="1:18">
      <c r="A22" s="3" t="s">
        <v>9</v>
      </c>
      <c r="B22" s="5">
        <v>14386.16</v>
      </c>
      <c r="C22" s="15">
        <f t="shared" si="3"/>
        <v>359.654</v>
      </c>
      <c r="D22" s="3">
        <v>1996.7749999999999</v>
      </c>
      <c r="E22" s="3">
        <v>678.15</v>
      </c>
      <c r="F22" s="3">
        <v>376.75</v>
      </c>
      <c r="G22" s="3"/>
      <c r="H22" s="3"/>
      <c r="I22" s="3">
        <v>301.40000000000003</v>
      </c>
      <c r="J22" s="3">
        <v>226.04999999999998</v>
      </c>
      <c r="K22" s="3">
        <v>82.89</v>
      </c>
      <c r="L22" s="3"/>
      <c r="M22" s="11">
        <v>715.82499999999993</v>
      </c>
      <c r="N22" s="3">
        <v>1536.55</v>
      </c>
      <c r="O22" s="3">
        <f>D4*2.16</f>
        <v>1627.5600000000002</v>
      </c>
      <c r="P22" s="11">
        <f t="shared" si="6"/>
        <v>7901.6040000000012</v>
      </c>
      <c r="Q22" s="11">
        <f t="shared" si="7"/>
        <v>15803.208000000002</v>
      </c>
      <c r="R22" s="3">
        <f t="shared" si="5"/>
        <v>-16027.590999999982</v>
      </c>
    </row>
    <row r="23" spans="1:18">
      <c r="A23" s="3" t="s">
        <v>10</v>
      </c>
      <c r="B23" s="5">
        <v>18543.47</v>
      </c>
      <c r="C23" s="15">
        <f t="shared" si="3"/>
        <v>463.58675000000005</v>
      </c>
      <c r="D23" s="3">
        <v>1996.7749999999999</v>
      </c>
      <c r="E23" s="3">
        <v>678.15</v>
      </c>
      <c r="F23" s="3">
        <v>376.75</v>
      </c>
      <c r="G23" s="3"/>
      <c r="H23" s="3"/>
      <c r="I23" s="3">
        <v>301.40000000000003</v>
      </c>
      <c r="J23" s="3">
        <v>226.04999999999998</v>
      </c>
      <c r="K23" s="3">
        <v>82.89</v>
      </c>
      <c r="L23" s="3"/>
      <c r="M23" s="11">
        <v>715.82499999999993</v>
      </c>
      <c r="N23" s="3">
        <v>2659.07</v>
      </c>
      <c r="O23" s="3">
        <f>O22</f>
        <v>1627.5600000000002</v>
      </c>
      <c r="P23" s="11">
        <f t="shared" si="6"/>
        <v>9128.0567499999997</v>
      </c>
      <c r="Q23" s="11">
        <f t="shared" si="7"/>
        <v>18256.113499999999</v>
      </c>
      <c r="R23" s="3">
        <f t="shared" si="5"/>
        <v>-15740.23449999998</v>
      </c>
    </row>
    <row r="24" spans="1:18">
      <c r="A24" s="3" t="s">
        <v>11</v>
      </c>
      <c r="B24" s="5">
        <v>15352.59</v>
      </c>
      <c r="C24" s="15">
        <f t="shared" si="3"/>
        <v>383.81475</v>
      </c>
      <c r="D24" s="3">
        <v>1996.7749999999999</v>
      </c>
      <c r="E24" s="3">
        <v>678.15</v>
      </c>
      <c r="F24" s="3">
        <v>376.75</v>
      </c>
      <c r="G24" s="3"/>
      <c r="H24" s="3">
        <v>1500</v>
      </c>
      <c r="I24" s="3">
        <v>301.40000000000003</v>
      </c>
      <c r="J24" s="3">
        <v>226.04999999999998</v>
      </c>
      <c r="K24" s="3">
        <v>82.89</v>
      </c>
      <c r="L24" s="3"/>
      <c r="M24" s="11">
        <v>715.82499999999993</v>
      </c>
      <c r="N24" s="3">
        <v>1264.46</v>
      </c>
      <c r="O24" s="3">
        <f>O23</f>
        <v>1627.5600000000002</v>
      </c>
      <c r="P24" s="11">
        <f t="shared" si="6"/>
        <v>9153.6747500000001</v>
      </c>
      <c r="Q24" s="11">
        <f t="shared" si="7"/>
        <v>18307.3495</v>
      </c>
      <c r="R24" s="3">
        <f t="shared" si="5"/>
        <v>-18694.993999999981</v>
      </c>
    </row>
    <row r="25" spans="1:18" s="45" customFormat="1">
      <c r="A25" s="6"/>
      <c r="B25" s="10">
        <f>SUM(B19:B24)</f>
        <v>107629.48</v>
      </c>
      <c r="C25" s="10">
        <f t="shared" ref="C25:P25" si="8">SUM(C19:C24)</f>
        <v>2690.7370000000001</v>
      </c>
      <c r="D25" s="10">
        <f t="shared" si="8"/>
        <v>11980.65</v>
      </c>
      <c r="E25" s="10">
        <f t="shared" si="8"/>
        <v>4068.9</v>
      </c>
      <c r="F25" s="10">
        <f t="shared" si="8"/>
        <v>2260.5</v>
      </c>
      <c r="G25" s="10">
        <f t="shared" si="8"/>
        <v>0</v>
      </c>
      <c r="H25" s="10">
        <f t="shared" si="8"/>
        <v>1500</v>
      </c>
      <c r="I25" s="10">
        <f t="shared" si="8"/>
        <v>1808.4000000000003</v>
      </c>
      <c r="J25" s="10">
        <f t="shared" si="8"/>
        <v>1356.3</v>
      </c>
      <c r="K25" s="10">
        <f t="shared" si="8"/>
        <v>497.33499999999998</v>
      </c>
      <c r="L25" s="10">
        <f t="shared" si="8"/>
        <v>0</v>
      </c>
      <c r="M25" s="10">
        <f t="shared" si="8"/>
        <v>4294.95</v>
      </c>
      <c r="N25" s="10">
        <f t="shared" si="8"/>
        <v>20080.099999999999</v>
      </c>
      <c r="O25" s="10">
        <f t="shared" si="8"/>
        <v>8974.1850000000013</v>
      </c>
      <c r="P25" s="10">
        <f t="shared" si="8"/>
        <v>59512.056999999993</v>
      </c>
      <c r="Q25" s="10">
        <f>SUM(Q19:Q24)</f>
        <v>119024.11399999999</v>
      </c>
      <c r="R25" s="6"/>
    </row>
    <row r="26" spans="1:18" s="47" customFormat="1">
      <c r="A26" s="46" t="s">
        <v>51</v>
      </c>
      <c r="B26" s="46">
        <f>B17+B25</f>
        <v>223316.2</v>
      </c>
      <c r="C26" s="46">
        <f t="shared" ref="C26:Q26" si="9">C17+C25</f>
        <v>2690.7370000000001</v>
      </c>
      <c r="D26" s="46">
        <f t="shared" si="9"/>
        <v>25317.600000000002</v>
      </c>
      <c r="E26" s="46">
        <f t="shared" si="9"/>
        <v>9042</v>
      </c>
      <c r="F26" s="46">
        <f t="shared" si="9"/>
        <v>4521</v>
      </c>
      <c r="G26" s="46">
        <f t="shared" si="9"/>
        <v>5651.98</v>
      </c>
      <c r="H26" s="46">
        <f t="shared" si="9"/>
        <v>3900</v>
      </c>
      <c r="I26" s="46">
        <f t="shared" si="9"/>
        <v>4068.9000000000005</v>
      </c>
      <c r="J26" s="46">
        <f t="shared" si="9"/>
        <v>2712.6</v>
      </c>
      <c r="K26" s="46">
        <f t="shared" si="9"/>
        <v>497.33499999999998</v>
      </c>
      <c r="L26" s="46">
        <f t="shared" si="9"/>
        <v>1010</v>
      </c>
      <c r="M26" s="46">
        <f t="shared" si="9"/>
        <v>6329.4</v>
      </c>
      <c r="N26" s="46">
        <f t="shared" si="9"/>
        <v>39882.369999999995</v>
      </c>
      <c r="O26" s="46">
        <f t="shared" si="9"/>
        <v>16479.044999999998</v>
      </c>
      <c r="P26" s="46">
        <f t="shared" si="9"/>
        <v>123132.96699999999</v>
      </c>
      <c r="Q26" s="46">
        <f t="shared" si="9"/>
        <v>245235.93399999995</v>
      </c>
      <c r="R26" s="46">
        <f>D6+B26-Q26</f>
        <v>-18694.993999999948</v>
      </c>
    </row>
    <row r="28" spans="1:18">
      <c r="A28" s="3" t="s">
        <v>67</v>
      </c>
      <c r="B28" s="3"/>
      <c r="C28" s="3"/>
      <c r="D28" s="57">
        <v>160</v>
      </c>
    </row>
    <row r="29" spans="1:18">
      <c r="A29" s="119" t="s">
        <v>69</v>
      </c>
      <c r="B29" s="120"/>
      <c r="C29" s="36"/>
      <c r="D29" s="57">
        <v>225</v>
      </c>
    </row>
    <row r="30" spans="1:18">
      <c r="A30" s="121"/>
      <c r="B30" s="122"/>
      <c r="C30" s="37"/>
      <c r="D30" s="57">
        <v>625</v>
      </c>
    </row>
    <row r="31" spans="1:18">
      <c r="A31" s="113" t="s">
        <v>78</v>
      </c>
      <c r="B31" s="115"/>
      <c r="C31" s="32"/>
      <c r="D31" s="57">
        <v>22000</v>
      </c>
    </row>
    <row r="32" spans="1:18">
      <c r="A32" s="3" t="s">
        <v>75</v>
      </c>
      <c r="B32" s="3"/>
      <c r="C32" s="3"/>
      <c r="D32" s="15">
        <v>10037.89</v>
      </c>
    </row>
  </sheetData>
  <mergeCells count="19">
    <mergeCell ref="A31:B31"/>
    <mergeCell ref="A29:B30"/>
    <mergeCell ref="A6:B6"/>
    <mergeCell ref="A8:A9"/>
    <mergeCell ref="B8:B9"/>
    <mergeCell ref="Q8:Q9"/>
    <mergeCell ref="R8:R9"/>
    <mergeCell ref="A1:R1"/>
    <mergeCell ref="A3:B3"/>
    <mergeCell ref="D3:E3"/>
    <mergeCell ref="F3:G3"/>
    <mergeCell ref="A4:B4"/>
    <mergeCell ref="A5:B5"/>
    <mergeCell ref="N3:O3"/>
    <mergeCell ref="K4:N4"/>
    <mergeCell ref="K5:N5"/>
    <mergeCell ref="D8:P8"/>
    <mergeCell ref="K6:N6"/>
    <mergeCell ref="K7:N7"/>
  </mergeCells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T31"/>
  <sheetViews>
    <sheetView topLeftCell="A10" workbookViewId="0">
      <selection activeCell="C26" sqref="C26:P26"/>
    </sheetView>
  </sheetViews>
  <sheetFormatPr defaultRowHeight="15"/>
  <cols>
    <col min="1" max="1" width="12.85546875" customWidth="1"/>
    <col min="2" max="2" width="10.7109375" customWidth="1"/>
    <col min="3" max="3" width="8.8554687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9.5703125" customWidth="1"/>
    <col min="16" max="16" width="9.140625" customWidth="1"/>
    <col min="17" max="17" width="8.7109375" customWidth="1"/>
    <col min="18" max="18" width="9.7109375" customWidth="1"/>
  </cols>
  <sheetData>
    <row r="1" spans="1:20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20" ht="15.75" thickBot="1"/>
    <row r="3" spans="1:20" ht="15.75" thickBot="1">
      <c r="A3" s="94" t="s">
        <v>12</v>
      </c>
      <c r="B3" s="95"/>
      <c r="C3" s="38"/>
      <c r="D3" s="94" t="s">
        <v>30</v>
      </c>
      <c r="E3" s="95"/>
      <c r="F3" s="94" t="s">
        <v>31</v>
      </c>
      <c r="G3" s="95"/>
      <c r="H3" s="8" t="s">
        <v>40</v>
      </c>
      <c r="N3" s="96"/>
      <c r="O3" s="96"/>
    </row>
    <row r="4" spans="1:20" ht="15.75" thickBot="1">
      <c r="A4" s="94" t="s">
        <v>14</v>
      </c>
      <c r="B4" s="95"/>
      <c r="C4" s="31"/>
      <c r="D4" s="1">
        <v>941.2</v>
      </c>
      <c r="E4" s="8" t="s">
        <v>27</v>
      </c>
      <c r="K4" s="97" t="s">
        <v>61</v>
      </c>
      <c r="L4" s="97"/>
      <c r="M4" s="97"/>
      <c r="N4" s="97"/>
      <c r="O4" s="3">
        <v>70430.53</v>
      </c>
    </row>
    <row r="5" spans="1:20" ht="15.75" thickBot="1">
      <c r="A5" s="94" t="s">
        <v>13</v>
      </c>
      <c r="B5" s="95"/>
      <c r="C5" s="31"/>
      <c r="D5" s="1">
        <v>2</v>
      </c>
      <c r="K5" s="97" t="s">
        <v>84</v>
      </c>
      <c r="L5" s="97"/>
      <c r="M5" s="97"/>
      <c r="N5" s="97"/>
      <c r="O5" s="3">
        <v>33925.01</v>
      </c>
    </row>
    <row r="6" spans="1:20" ht="15.75" thickBot="1">
      <c r="A6" s="94" t="s">
        <v>15</v>
      </c>
      <c r="B6" s="95"/>
      <c r="C6" s="31"/>
      <c r="D6" s="1">
        <v>24409.96</v>
      </c>
      <c r="K6" s="97" t="s">
        <v>62</v>
      </c>
      <c r="L6" s="97"/>
      <c r="M6" s="97"/>
      <c r="N6" s="97"/>
      <c r="O6" s="3"/>
    </row>
    <row r="7" spans="1:20">
      <c r="K7" s="102" t="s">
        <v>64</v>
      </c>
      <c r="L7" s="102"/>
      <c r="M7" s="97"/>
      <c r="N7" s="97"/>
      <c r="O7" s="3">
        <f>O4+O5-O6</f>
        <v>104355.54000000001</v>
      </c>
    </row>
    <row r="8" spans="1:20" ht="15" customHeight="1">
      <c r="A8" s="107"/>
      <c r="B8" s="109" t="s">
        <v>16</v>
      </c>
      <c r="C8" s="39"/>
      <c r="D8" s="99" t="s">
        <v>26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103" t="s">
        <v>24</v>
      </c>
      <c r="R8" s="104" t="s">
        <v>25</v>
      </c>
    </row>
    <row r="9" spans="1:20" ht="78.75" customHeight="1">
      <c r="A9" s="108"/>
      <c r="B9" s="109"/>
      <c r="C9" s="40" t="s">
        <v>80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53" t="s">
        <v>91</v>
      </c>
      <c r="L9" s="53" t="s">
        <v>87</v>
      </c>
      <c r="M9" s="53" t="s">
        <v>95</v>
      </c>
      <c r="N9" s="64" t="s">
        <v>86</v>
      </c>
      <c r="O9" s="4" t="s">
        <v>28</v>
      </c>
      <c r="P9" s="7" t="s">
        <v>29</v>
      </c>
      <c r="Q9" s="103"/>
      <c r="R9" s="105"/>
      <c r="S9" s="2"/>
      <c r="T9" s="2"/>
    </row>
    <row r="10" spans="1:20" s="73" customFormat="1">
      <c r="A10" s="70">
        <f>SUM(D10:P10)</f>
        <v>40.04</v>
      </c>
      <c r="B10" s="41"/>
      <c r="C10" s="41"/>
      <c r="D10" s="41">
        <v>2.95</v>
      </c>
      <c r="E10" s="41">
        <v>1.1000000000000001</v>
      </c>
      <c r="F10" s="41">
        <v>0.5</v>
      </c>
      <c r="G10" s="41">
        <v>0.85</v>
      </c>
      <c r="H10" s="41">
        <v>0.3</v>
      </c>
      <c r="I10" s="41">
        <v>0.5</v>
      </c>
      <c r="J10" s="41">
        <v>0.3</v>
      </c>
      <c r="K10" s="41"/>
      <c r="L10" s="41">
        <v>0.1</v>
      </c>
      <c r="M10" s="41">
        <v>0.45</v>
      </c>
      <c r="N10" s="75">
        <v>5.7</v>
      </c>
      <c r="O10" s="71">
        <v>1.66</v>
      </c>
      <c r="P10" s="71">
        <v>25.63</v>
      </c>
      <c r="Q10" s="72"/>
      <c r="R10" s="72"/>
    </row>
    <row r="11" spans="1:20">
      <c r="A11" s="3" t="s">
        <v>0</v>
      </c>
      <c r="B11" s="5">
        <v>31974.52</v>
      </c>
      <c r="C11" s="44"/>
      <c r="D11" s="3">
        <f>D10*941.2</f>
        <v>2776.5400000000004</v>
      </c>
      <c r="E11" s="3">
        <f t="shared" ref="E11:O11" si="0">E10*941.2</f>
        <v>1035.3200000000002</v>
      </c>
      <c r="F11" s="3">
        <f t="shared" si="0"/>
        <v>470.6</v>
      </c>
      <c r="G11" s="3"/>
      <c r="H11" s="3"/>
      <c r="I11" s="3">
        <f t="shared" si="0"/>
        <v>470.6</v>
      </c>
      <c r="J11" s="3">
        <f t="shared" si="0"/>
        <v>282.36</v>
      </c>
      <c r="K11" s="3"/>
      <c r="L11" s="3"/>
      <c r="M11" s="3">
        <f t="shared" si="0"/>
        <v>423.54</v>
      </c>
      <c r="N11" s="3">
        <v>2431.5700000000002</v>
      </c>
      <c r="O11" s="11">
        <f t="shared" si="0"/>
        <v>1562.3920000000001</v>
      </c>
      <c r="P11" s="3">
        <v>12018.66</v>
      </c>
      <c r="Q11" s="3">
        <f t="shared" ref="Q11:Q16" si="1">SUM(D11:P11)</f>
        <v>21471.582000000002</v>
      </c>
      <c r="R11" s="3">
        <f>D6+B11-Q11</f>
        <v>34912.897999999994</v>
      </c>
    </row>
    <row r="12" spans="1:20">
      <c r="A12" s="3" t="s">
        <v>1</v>
      </c>
      <c r="B12" s="5">
        <v>28394.15</v>
      </c>
      <c r="C12" s="44"/>
      <c r="D12" s="3">
        <v>2776.5400000000004</v>
      </c>
      <c r="E12" s="3">
        <v>1035.3200000000002</v>
      </c>
      <c r="F12" s="3">
        <v>470.6</v>
      </c>
      <c r="G12" s="3"/>
      <c r="H12" s="3"/>
      <c r="I12" s="3">
        <v>470.6</v>
      </c>
      <c r="J12" s="3">
        <v>282.36</v>
      </c>
      <c r="K12" s="3"/>
      <c r="L12" s="3"/>
      <c r="M12" s="3">
        <v>423.54</v>
      </c>
      <c r="N12" s="3">
        <v>2132.36</v>
      </c>
      <c r="O12" s="11">
        <v>1562.3920000000001</v>
      </c>
      <c r="P12" s="3">
        <v>7268.69</v>
      </c>
      <c r="Q12" s="3">
        <f t="shared" si="1"/>
        <v>16422.402000000002</v>
      </c>
      <c r="R12" s="3">
        <f>R11+B12-Q12</f>
        <v>46884.645999999993</v>
      </c>
    </row>
    <row r="13" spans="1:20">
      <c r="A13" s="3" t="s">
        <v>2</v>
      </c>
      <c r="B13" s="5">
        <v>25612.42</v>
      </c>
      <c r="C13" s="44"/>
      <c r="D13" s="3">
        <v>2776.5400000000004</v>
      </c>
      <c r="E13" s="3">
        <v>1035.3200000000002</v>
      </c>
      <c r="F13" s="3">
        <v>470.6</v>
      </c>
      <c r="G13" s="3">
        <v>4189.99</v>
      </c>
      <c r="H13" s="3"/>
      <c r="I13" s="3">
        <v>470.6</v>
      </c>
      <c r="J13" s="3">
        <v>282.36</v>
      </c>
      <c r="K13" s="3"/>
      <c r="L13" s="3"/>
      <c r="M13" s="3">
        <v>423.54</v>
      </c>
      <c r="N13" s="3">
        <v>3694.95</v>
      </c>
      <c r="O13" s="11">
        <v>1562.3920000000001</v>
      </c>
      <c r="P13" s="3">
        <v>13148.71</v>
      </c>
      <c r="Q13" s="3">
        <f t="shared" si="1"/>
        <v>28055.002</v>
      </c>
      <c r="R13" s="3">
        <f>R12+B13-Q13</f>
        <v>44442.063999999991</v>
      </c>
    </row>
    <row r="14" spans="1:20">
      <c r="A14" s="3" t="s">
        <v>3</v>
      </c>
      <c r="B14" s="5">
        <v>30971.33</v>
      </c>
      <c r="C14" s="44"/>
      <c r="D14" s="3">
        <v>2776.5400000000004</v>
      </c>
      <c r="E14" s="3">
        <v>1035.3200000000002</v>
      </c>
      <c r="F14" s="3">
        <v>470.6</v>
      </c>
      <c r="G14" s="3">
        <v>343</v>
      </c>
      <c r="H14" s="3">
        <v>3620</v>
      </c>
      <c r="I14" s="3">
        <v>470.6</v>
      </c>
      <c r="J14" s="3">
        <v>282.36</v>
      </c>
      <c r="K14" s="3"/>
      <c r="L14" s="57">
        <v>7185.2</v>
      </c>
      <c r="M14" s="3">
        <v>423.54</v>
      </c>
      <c r="N14" s="3">
        <v>3447.19</v>
      </c>
      <c r="O14" s="11">
        <v>1562.3920000000001</v>
      </c>
      <c r="P14" s="3">
        <v>12013.44</v>
      </c>
      <c r="Q14" s="3">
        <f t="shared" si="1"/>
        <v>33630.182000000001</v>
      </c>
      <c r="R14" s="3">
        <f>R13+B14-Q14</f>
        <v>41783.212</v>
      </c>
    </row>
    <row r="15" spans="1:20">
      <c r="A15" s="3" t="s">
        <v>4</v>
      </c>
      <c r="B15" s="5">
        <v>22336.959999999999</v>
      </c>
      <c r="C15" s="44"/>
      <c r="D15" s="3">
        <v>2776.5400000000004</v>
      </c>
      <c r="E15" s="3">
        <v>1035.3200000000002</v>
      </c>
      <c r="F15" s="3">
        <v>470.6</v>
      </c>
      <c r="G15" s="3"/>
      <c r="H15" s="3"/>
      <c r="I15" s="3">
        <v>470.6</v>
      </c>
      <c r="J15" s="3">
        <v>282.36</v>
      </c>
      <c r="K15" s="3"/>
      <c r="L15" s="3"/>
      <c r="M15" s="3">
        <v>423.54</v>
      </c>
      <c r="N15" s="3">
        <v>1079.05</v>
      </c>
      <c r="O15" s="11">
        <v>1562.3920000000001</v>
      </c>
      <c r="P15" s="3">
        <v>13889.96</v>
      </c>
      <c r="Q15" s="3">
        <f t="shared" si="1"/>
        <v>21990.362000000001</v>
      </c>
      <c r="R15" s="3">
        <f>R14+B15-Q15</f>
        <v>42129.81</v>
      </c>
    </row>
    <row r="16" spans="1:20">
      <c r="A16" s="3" t="s">
        <v>5</v>
      </c>
      <c r="B16" s="5">
        <v>22773.040000000001</v>
      </c>
      <c r="C16" s="44"/>
      <c r="D16" s="3">
        <v>2776.5400000000004</v>
      </c>
      <c r="E16" s="3">
        <v>1035.3200000000002</v>
      </c>
      <c r="F16" s="3">
        <v>470.6</v>
      </c>
      <c r="G16" s="3"/>
      <c r="H16" s="3"/>
      <c r="I16" s="3">
        <v>470.6</v>
      </c>
      <c r="J16" s="3">
        <v>282.36</v>
      </c>
      <c r="K16" s="3"/>
      <c r="L16" s="3"/>
      <c r="M16" s="3">
        <v>423.54</v>
      </c>
      <c r="N16" s="3">
        <v>19208.490000000002</v>
      </c>
      <c r="O16" s="11">
        <v>1562.3920000000001</v>
      </c>
      <c r="P16" s="3">
        <v>15690.504999999999</v>
      </c>
      <c r="Q16" s="3">
        <f t="shared" si="1"/>
        <v>41920.347000000002</v>
      </c>
      <c r="R16" s="3">
        <f>R15+B16-Q16</f>
        <v>22982.502999999997</v>
      </c>
    </row>
    <row r="17" spans="1:18" s="45" customFormat="1">
      <c r="A17" s="6" t="s">
        <v>81</v>
      </c>
      <c r="B17" s="10">
        <f>SUM(B11:B16)</f>
        <v>162062.42000000001</v>
      </c>
      <c r="C17" s="49">
        <f t="shared" ref="C17:Q17" si="2">SUM(C11:C16)</f>
        <v>0</v>
      </c>
      <c r="D17" s="10">
        <f t="shared" si="2"/>
        <v>16659.240000000002</v>
      </c>
      <c r="E17" s="10">
        <f t="shared" si="2"/>
        <v>6211.92</v>
      </c>
      <c r="F17" s="10">
        <f t="shared" si="2"/>
        <v>2823.6</v>
      </c>
      <c r="G17" s="10">
        <f t="shared" si="2"/>
        <v>4532.99</v>
      </c>
      <c r="H17" s="10">
        <f t="shared" si="2"/>
        <v>3620</v>
      </c>
      <c r="I17" s="10">
        <f t="shared" si="2"/>
        <v>2823.6</v>
      </c>
      <c r="J17" s="10">
        <f t="shared" si="2"/>
        <v>1694.1600000000003</v>
      </c>
      <c r="K17" s="10">
        <f t="shared" si="2"/>
        <v>0</v>
      </c>
      <c r="L17" s="10">
        <f t="shared" si="2"/>
        <v>7185.2</v>
      </c>
      <c r="M17" s="10">
        <f t="shared" si="2"/>
        <v>2541.2400000000002</v>
      </c>
      <c r="N17" s="10">
        <f t="shared" si="2"/>
        <v>31993.61</v>
      </c>
      <c r="O17" s="10">
        <f t="shared" si="2"/>
        <v>9374.3520000000008</v>
      </c>
      <c r="P17" s="10">
        <f t="shared" si="2"/>
        <v>74029.964999999997</v>
      </c>
      <c r="Q17" s="10">
        <f t="shared" si="2"/>
        <v>163489.87700000001</v>
      </c>
      <c r="R17" s="6"/>
    </row>
    <row r="18" spans="1:18" s="43" customFormat="1">
      <c r="A18" s="41">
        <v>42.2</v>
      </c>
      <c r="B18" s="41"/>
      <c r="C18" s="42">
        <v>0.6</v>
      </c>
      <c r="D18" s="41">
        <v>2.65</v>
      </c>
      <c r="E18" s="41">
        <v>0.9</v>
      </c>
      <c r="F18" s="41">
        <v>0.5</v>
      </c>
      <c r="G18" s="41">
        <v>0.6</v>
      </c>
      <c r="H18" s="41">
        <v>0.4</v>
      </c>
      <c r="I18" s="41">
        <v>0.4</v>
      </c>
      <c r="J18" s="41">
        <v>0.3</v>
      </c>
      <c r="K18" s="41">
        <v>0.11</v>
      </c>
      <c r="L18" s="41">
        <v>0.04</v>
      </c>
      <c r="M18" s="41">
        <v>0.95</v>
      </c>
      <c r="N18" s="55" t="s">
        <v>92</v>
      </c>
      <c r="O18" s="42">
        <v>1.81</v>
      </c>
      <c r="P18" s="41">
        <v>25.63</v>
      </c>
      <c r="Q18" s="41"/>
      <c r="R18" s="3">
        <f>R16+B18-Q18</f>
        <v>22982.502999999997</v>
      </c>
    </row>
    <row r="19" spans="1:18">
      <c r="A19" s="3" t="s">
        <v>6</v>
      </c>
      <c r="B19" s="5">
        <v>24454.55</v>
      </c>
      <c r="C19" s="44">
        <f t="shared" ref="C19:C24" si="3">B19*2.5/100</f>
        <v>611.36374999999998</v>
      </c>
      <c r="D19" s="3">
        <f>D18*941.2</f>
        <v>2494.1799999999998</v>
      </c>
      <c r="E19" s="3">
        <f t="shared" ref="E19:O19" si="4">E18*941.2</f>
        <v>847.08</v>
      </c>
      <c r="F19" s="3">
        <f t="shared" si="4"/>
        <v>470.6</v>
      </c>
      <c r="G19" s="3"/>
      <c r="H19" s="3"/>
      <c r="I19" s="3">
        <f t="shared" si="4"/>
        <v>376.48</v>
      </c>
      <c r="J19" s="3">
        <f t="shared" si="4"/>
        <v>282.36</v>
      </c>
      <c r="K19" s="3">
        <f t="shared" si="4"/>
        <v>103.53200000000001</v>
      </c>
      <c r="L19" s="11"/>
      <c r="M19" s="3">
        <f t="shared" si="4"/>
        <v>894.14</v>
      </c>
      <c r="N19" s="74">
        <v>1673.89</v>
      </c>
      <c r="O19" s="11">
        <f t="shared" si="4"/>
        <v>1703.5720000000001</v>
      </c>
      <c r="P19" s="3">
        <v>18197.32</v>
      </c>
      <c r="Q19" s="11">
        <f>SUM(C19:P19)</f>
        <v>27654.517749999999</v>
      </c>
      <c r="R19" s="3">
        <f t="shared" ref="R19:R24" si="5">R18+B19-Q19</f>
        <v>19782.535250000001</v>
      </c>
    </row>
    <row r="20" spans="1:18">
      <c r="A20" s="3" t="s">
        <v>7</v>
      </c>
      <c r="B20" s="5">
        <v>29964.53</v>
      </c>
      <c r="C20" s="44">
        <f t="shared" si="3"/>
        <v>749.11324999999999</v>
      </c>
      <c r="D20" s="3">
        <v>2494.1799999999998</v>
      </c>
      <c r="E20" s="3">
        <v>847.08</v>
      </c>
      <c r="F20" s="3">
        <v>470.6</v>
      </c>
      <c r="G20" s="3"/>
      <c r="H20" s="3"/>
      <c r="I20" s="3">
        <v>376.48</v>
      </c>
      <c r="J20" s="3">
        <v>282.36</v>
      </c>
      <c r="K20" s="3">
        <v>103.53</v>
      </c>
      <c r="L20" s="3"/>
      <c r="M20" s="3">
        <v>894.14</v>
      </c>
      <c r="N20" s="74">
        <v>6991.03</v>
      </c>
      <c r="O20" s="11">
        <v>1703.5720000000001</v>
      </c>
      <c r="P20" s="3">
        <v>19077.830000000002</v>
      </c>
      <c r="Q20" s="11">
        <f t="shared" ref="Q20:Q24" si="6">SUM(C20:P20)</f>
        <v>33989.915250000005</v>
      </c>
      <c r="R20" s="3">
        <f t="shared" si="5"/>
        <v>15757.149999999994</v>
      </c>
    </row>
    <row r="21" spans="1:18">
      <c r="A21" s="3" t="s">
        <v>8</v>
      </c>
      <c r="B21" s="5">
        <v>32810.480000000003</v>
      </c>
      <c r="C21" s="44">
        <f t="shared" si="3"/>
        <v>820.26200000000017</v>
      </c>
      <c r="D21" s="3">
        <v>2494.1799999999998</v>
      </c>
      <c r="E21" s="3">
        <v>847.08</v>
      </c>
      <c r="F21" s="3">
        <v>470.6</v>
      </c>
      <c r="G21" s="3"/>
      <c r="H21" s="3"/>
      <c r="I21" s="3">
        <v>376.48</v>
      </c>
      <c r="J21" s="3">
        <v>282.36</v>
      </c>
      <c r="K21" s="3">
        <v>103.53</v>
      </c>
      <c r="L21" s="3"/>
      <c r="M21" s="3">
        <v>894.14</v>
      </c>
      <c r="N21" s="3">
        <v>12156.06</v>
      </c>
      <c r="O21" s="11">
        <v>1703.5720000000001</v>
      </c>
      <c r="P21" s="3">
        <v>13972.89</v>
      </c>
      <c r="Q21" s="11">
        <f t="shared" si="6"/>
        <v>34121.153999999995</v>
      </c>
      <c r="R21" s="3">
        <f t="shared" si="5"/>
        <v>14446.476000000002</v>
      </c>
    </row>
    <row r="22" spans="1:18">
      <c r="A22" s="3" t="s">
        <v>9</v>
      </c>
      <c r="B22" s="5">
        <v>23548.75</v>
      </c>
      <c r="C22" s="15">
        <f t="shared" si="3"/>
        <v>588.71875</v>
      </c>
      <c r="D22" s="3">
        <v>2494.1799999999998</v>
      </c>
      <c r="E22" s="3">
        <v>847.08</v>
      </c>
      <c r="F22" s="3">
        <v>470.6</v>
      </c>
      <c r="G22" s="3"/>
      <c r="H22" s="3"/>
      <c r="I22" s="3">
        <v>376.48</v>
      </c>
      <c r="J22" s="3">
        <v>282.36</v>
      </c>
      <c r="K22" s="3">
        <v>103.53</v>
      </c>
      <c r="L22" s="3"/>
      <c r="M22" s="3">
        <v>894.14</v>
      </c>
      <c r="N22" s="3">
        <v>1828.83</v>
      </c>
      <c r="O22" s="11">
        <f>D4*2.16</f>
        <v>2032.9920000000002</v>
      </c>
      <c r="P22" s="3">
        <v>17335.7</v>
      </c>
      <c r="Q22" s="11">
        <f t="shared" si="6"/>
        <v>27254.61075</v>
      </c>
      <c r="R22" s="3">
        <f t="shared" si="5"/>
        <v>10740.615250000003</v>
      </c>
    </row>
    <row r="23" spans="1:18">
      <c r="A23" s="3" t="s">
        <v>10</v>
      </c>
      <c r="B23" s="5">
        <v>30860.18</v>
      </c>
      <c r="C23" s="15">
        <f t="shared" si="3"/>
        <v>771.50450000000001</v>
      </c>
      <c r="D23" s="3">
        <v>2494.1799999999998</v>
      </c>
      <c r="E23" s="3">
        <v>847.08</v>
      </c>
      <c r="F23" s="3">
        <v>470.6</v>
      </c>
      <c r="G23" s="3"/>
      <c r="H23" s="3"/>
      <c r="I23" s="3">
        <v>376.48</v>
      </c>
      <c r="J23" s="3">
        <v>282.36</v>
      </c>
      <c r="K23" s="3">
        <v>103.53</v>
      </c>
      <c r="L23" s="3"/>
      <c r="M23" s="3">
        <v>894.14</v>
      </c>
      <c r="N23" s="3">
        <v>2739.73</v>
      </c>
      <c r="O23" s="11">
        <f>O22</f>
        <v>2032.9920000000002</v>
      </c>
      <c r="P23" s="3">
        <v>16565.55</v>
      </c>
      <c r="Q23" s="11">
        <f t="shared" si="6"/>
        <v>27578.146500000003</v>
      </c>
      <c r="R23" s="3">
        <f t="shared" si="5"/>
        <v>14022.64875</v>
      </c>
    </row>
    <row r="24" spans="1:18">
      <c r="A24" s="3" t="s">
        <v>11</v>
      </c>
      <c r="B24" s="5">
        <v>25811.94</v>
      </c>
      <c r="C24" s="15">
        <f t="shared" si="3"/>
        <v>645.29849999999999</v>
      </c>
      <c r="D24" s="3">
        <v>2494.1799999999998</v>
      </c>
      <c r="E24" s="3">
        <v>847.08</v>
      </c>
      <c r="F24" s="3">
        <v>470.6</v>
      </c>
      <c r="G24" s="3"/>
      <c r="H24" s="3"/>
      <c r="I24" s="3">
        <v>376.48</v>
      </c>
      <c r="J24" s="3">
        <v>282.36</v>
      </c>
      <c r="K24" s="3">
        <v>103.53</v>
      </c>
      <c r="L24" s="3"/>
      <c r="M24" s="3">
        <v>894.14</v>
      </c>
      <c r="N24" s="3">
        <v>1041.08</v>
      </c>
      <c r="O24" s="11">
        <f>O23</f>
        <v>2032.9920000000002</v>
      </c>
      <c r="P24" s="3">
        <v>16716.52</v>
      </c>
      <c r="Q24" s="11">
        <f t="shared" si="6"/>
        <v>25904.2605</v>
      </c>
      <c r="R24" s="3">
        <f t="shared" si="5"/>
        <v>13930.328249999995</v>
      </c>
    </row>
    <row r="25" spans="1:18" s="45" customFormat="1">
      <c r="A25" s="6" t="s">
        <v>82</v>
      </c>
      <c r="B25" s="10">
        <f>SUM(B19:B24)</f>
        <v>167450.43</v>
      </c>
      <c r="C25" s="10">
        <f t="shared" ref="C25:Q25" si="7">SUM(C19:C24)</f>
        <v>4186.2607500000004</v>
      </c>
      <c r="D25" s="10">
        <f t="shared" si="7"/>
        <v>14965.08</v>
      </c>
      <c r="E25" s="10">
        <f t="shared" si="7"/>
        <v>5082.4800000000005</v>
      </c>
      <c r="F25" s="10">
        <f t="shared" si="7"/>
        <v>2823.6</v>
      </c>
      <c r="G25" s="10">
        <f t="shared" si="7"/>
        <v>0</v>
      </c>
      <c r="H25" s="10">
        <f t="shared" si="7"/>
        <v>0</v>
      </c>
      <c r="I25" s="10">
        <f t="shared" si="7"/>
        <v>2258.88</v>
      </c>
      <c r="J25" s="10">
        <f t="shared" si="7"/>
        <v>1694.1600000000003</v>
      </c>
      <c r="K25" s="10">
        <f t="shared" si="7"/>
        <v>621.1819999999999</v>
      </c>
      <c r="L25" s="10">
        <f t="shared" si="7"/>
        <v>0</v>
      </c>
      <c r="M25" s="10">
        <f t="shared" si="7"/>
        <v>5364.84</v>
      </c>
      <c r="N25" s="10">
        <f t="shared" si="7"/>
        <v>26430.619999999995</v>
      </c>
      <c r="O25" s="10">
        <f t="shared" si="7"/>
        <v>11209.692000000001</v>
      </c>
      <c r="P25" s="10">
        <f t="shared" si="7"/>
        <v>101865.81000000001</v>
      </c>
      <c r="Q25" s="10">
        <f t="shared" si="7"/>
        <v>176502.60475</v>
      </c>
      <c r="R25" s="6"/>
    </row>
    <row r="26" spans="1:18" s="47" customFormat="1">
      <c r="A26" s="46" t="s">
        <v>51</v>
      </c>
      <c r="B26" s="46">
        <f>B17+B25</f>
        <v>329512.84999999998</v>
      </c>
      <c r="C26" s="46">
        <f t="shared" ref="C26:Q26" si="8">C17+C25</f>
        <v>4186.2607500000004</v>
      </c>
      <c r="D26" s="46">
        <f t="shared" si="8"/>
        <v>31624.32</v>
      </c>
      <c r="E26" s="46">
        <f t="shared" si="8"/>
        <v>11294.400000000001</v>
      </c>
      <c r="F26" s="46">
        <f t="shared" si="8"/>
        <v>5647.2</v>
      </c>
      <c r="G26" s="46">
        <f t="shared" si="8"/>
        <v>4532.99</v>
      </c>
      <c r="H26" s="46">
        <f t="shared" si="8"/>
        <v>3620</v>
      </c>
      <c r="I26" s="46">
        <f t="shared" si="8"/>
        <v>5082.4799999999996</v>
      </c>
      <c r="J26" s="46">
        <f t="shared" si="8"/>
        <v>3388.3200000000006</v>
      </c>
      <c r="K26" s="46">
        <f t="shared" si="8"/>
        <v>621.1819999999999</v>
      </c>
      <c r="L26" s="46">
        <f t="shared" si="8"/>
        <v>7185.2</v>
      </c>
      <c r="M26" s="46">
        <f t="shared" si="8"/>
        <v>7906.08</v>
      </c>
      <c r="N26" s="46">
        <f t="shared" si="8"/>
        <v>58424.229999999996</v>
      </c>
      <c r="O26" s="46">
        <f t="shared" si="8"/>
        <v>20584.044000000002</v>
      </c>
      <c r="P26" s="46">
        <f t="shared" si="8"/>
        <v>175895.77500000002</v>
      </c>
      <c r="Q26" s="46">
        <f t="shared" si="8"/>
        <v>339992.48175000004</v>
      </c>
      <c r="R26" s="46">
        <f>D6+B26-Q26</f>
        <v>13930.328249999962</v>
      </c>
    </row>
    <row r="29" spans="1:18">
      <c r="A29" s="102" t="s">
        <v>56</v>
      </c>
      <c r="B29" s="102"/>
      <c r="C29" s="102"/>
      <c r="D29" s="102"/>
      <c r="E29" s="57">
        <v>7185.2</v>
      </c>
    </row>
    <row r="31" spans="1:18">
      <c r="A31" s="3" t="s">
        <v>75</v>
      </c>
      <c r="B31" s="3"/>
      <c r="C31" s="3"/>
      <c r="D31" s="3"/>
      <c r="E31" s="57">
        <v>11998.12</v>
      </c>
    </row>
  </sheetData>
  <mergeCells count="18">
    <mergeCell ref="A5:B5"/>
    <mergeCell ref="N3:O3"/>
    <mergeCell ref="K4:N4"/>
    <mergeCell ref="K5:N5"/>
    <mergeCell ref="A6:B6"/>
    <mergeCell ref="K6:N6"/>
    <mergeCell ref="A1:R1"/>
    <mergeCell ref="A3:B3"/>
    <mergeCell ref="D3:E3"/>
    <mergeCell ref="F3:G3"/>
    <mergeCell ref="A4:B4"/>
    <mergeCell ref="K7:N7"/>
    <mergeCell ref="A29:D29"/>
    <mergeCell ref="Q8:Q9"/>
    <mergeCell ref="R8:R9"/>
    <mergeCell ref="A8:A9"/>
    <mergeCell ref="B8:B9"/>
    <mergeCell ref="D8:P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Мира 1</vt:lpstr>
      <vt:lpstr>Мира 2</vt:lpstr>
      <vt:lpstr>Мира 3</vt:lpstr>
      <vt:lpstr>Мира 4</vt:lpstr>
      <vt:lpstr>Мира 5</vt:lpstr>
      <vt:lpstr>Мира 6</vt:lpstr>
      <vt:lpstr>Мира 7</vt:lpstr>
      <vt:lpstr>Мира 8</vt:lpstr>
      <vt:lpstr>Мира 9</vt:lpstr>
      <vt:lpstr>Мира 10</vt:lpstr>
      <vt:lpstr>Мира 11</vt:lpstr>
      <vt:lpstr>Мира 12</vt:lpstr>
      <vt:lpstr>Мира 13</vt:lpstr>
      <vt:lpstr>Мира 14</vt:lpstr>
      <vt:lpstr>Мира 15</vt:lpstr>
      <vt:lpstr>Мира 15 А</vt:lpstr>
      <vt:lpstr>Мира 16</vt:lpstr>
      <vt:lpstr>Новая 9</vt:lpstr>
      <vt:lpstr>Лист2</vt:lpstr>
      <vt:lpstr>Лист3</vt:lpstr>
      <vt:lpstr>'Новая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User</cp:lastModifiedBy>
  <cp:lastPrinted>2013-03-18T09:45:49Z</cp:lastPrinted>
  <dcterms:created xsi:type="dcterms:W3CDTF">2011-05-17T07:20:54Z</dcterms:created>
  <dcterms:modified xsi:type="dcterms:W3CDTF">2013-03-18T11:48:06Z</dcterms:modified>
</cp:coreProperties>
</file>